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20" windowHeight="11020"/>
  </bookViews>
  <sheets>
    <sheet name="Fee Comparison" sheetId="4" r:id="rId1"/>
    <sheet name="Fee Comparison-Detailed" sheetId="3" state="hidden" r:id="rId2"/>
  </sheets>
  <definedNames>
    <definedName name="EST" localSheetId="0">'Fee Comparison'!#REF!</definedName>
    <definedName name="EST" localSheetId="1">'Fee Comparison-Detailed'!#REF!</definedName>
    <definedName name="EST">#REF!</definedName>
    <definedName name="ike" localSheetId="0">#REF!</definedName>
    <definedName name="ike" localSheetId="1">#REF!</definedName>
    <definedName name="ike">#REF!</definedName>
    <definedName name="_xlnm.Print_Area" localSheetId="0">'Fee Comparison'!$B$11:$O$41</definedName>
    <definedName name="_xlnm.Print_Area" localSheetId="1">'Fee Comparison-Detailed'!$A$10:$M$40</definedName>
    <definedName name="solver_adj" localSheetId="0" hidden="1">'Fee Comparison'!$F$14</definedName>
    <definedName name="solver_adj" localSheetId="1" hidden="1">'Fee Comparison-Detailed'!$F$13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'Fee Comparison'!$F$18</definedName>
    <definedName name="solver_opt" localSheetId="1" hidden="1">'Fee Comparison-Detailed'!$F$17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227500</definedName>
    <definedName name="solver_val" localSheetId="1" hidden="1">227500</definedName>
  </definedNames>
  <calcPr calcId="145621"/>
</workbook>
</file>

<file path=xl/calcChain.xml><?xml version="1.0" encoding="utf-8"?>
<calcChain xmlns="http://schemas.openxmlformats.org/spreadsheetml/2006/main">
  <c r="P14" i="4" l="1"/>
  <c r="M59" i="3"/>
  <c r="N13" i="3"/>
  <c r="M35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36" i="3"/>
  <c r="P36" i="4"/>
  <c r="P60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37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F15" i="4"/>
  <c r="E36" i="4"/>
  <c r="E43" i="4"/>
  <c r="N14" i="3"/>
  <c r="N17" i="3"/>
  <c r="E47" i="4"/>
  <c r="E44" i="4"/>
  <c r="E48" i="4"/>
  <c r="E45" i="4"/>
  <c r="E49" i="4"/>
  <c r="E42" i="4"/>
  <c r="E46" i="4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F14" i="3"/>
  <c r="E35" i="3"/>
  <c r="E37" i="4"/>
  <c r="E38" i="4"/>
  <c r="F17" i="4"/>
  <c r="P38" i="4"/>
  <c r="P15" i="4"/>
  <c r="E22" i="4"/>
  <c r="F18" i="4"/>
  <c r="E20" i="4"/>
  <c r="O22" i="4"/>
  <c r="O20" i="4"/>
  <c r="P18" i="4"/>
  <c r="M37" i="3"/>
  <c r="E48" i="3"/>
  <c r="E46" i="3"/>
  <c r="E44" i="3"/>
  <c r="E42" i="3"/>
  <c r="E47" i="3"/>
  <c r="E45" i="3"/>
  <c r="E43" i="3"/>
  <c r="E41" i="3"/>
  <c r="N19" i="3"/>
  <c r="N21" i="3"/>
  <c r="E36" i="3"/>
  <c r="F16" i="3"/>
  <c r="F17" i="3"/>
  <c r="F21" i="3"/>
  <c r="E37" i="3"/>
  <c r="F19" i="3"/>
</calcChain>
</file>

<file path=xl/sharedStrings.xml><?xml version="1.0" encoding="utf-8"?>
<sst xmlns="http://schemas.openxmlformats.org/spreadsheetml/2006/main" count="111" uniqueCount="51">
  <si>
    <t>Non-Recurring RWA's  - Overhead and 4% Fee Calculator</t>
  </si>
  <si>
    <t>Enter Estimated Construction Costs (4% Fee DOES apply)</t>
  </si>
  <si>
    <t>&lt;&lt; ENTER if applicable</t>
  </si>
  <si>
    <t>Enter Personal Property Costs (4% fee does NOT apply)</t>
  </si>
  <si>
    <t>Applicable Sliding Scale Overhead</t>
  </si>
  <si>
    <t>ENTER RWA BASE ESTIMATE</t>
  </si>
  <si>
    <t>Total Estimated RWA Amount</t>
  </si>
  <si>
    <t>TOTAL RWA COST</t>
  </si>
  <si>
    <t>Non-Recurring RWA's  - Stepped Fee Calculator</t>
  </si>
  <si>
    <t>Enter Estimated Project/Services Costs</t>
  </si>
  <si>
    <t>&lt;&lt; ENTER amount</t>
  </si>
  <si>
    <t>Stepped Fee Amount</t>
  </si>
  <si>
    <t>Range Low</t>
  </si>
  <si>
    <t>Range High</t>
  </si>
  <si>
    <t>Max/Range</t>
  </si>
  <si>
    <t>Flat</t>
  </si>
  <si>
    <t>INF</t>
  </si>
  <si>
    <r>
      <t xml:space="preserve">For RWAs Accepted </t>
    </r>
    <r>
      <rPr>
        <b/>
        <u/>
        <sz val="11"/>
        <rFont val="Calibri"/>
        <family val="2"/>
        <scheme val="minor"/>
      </rPr>
      <t>before</t>
    </r>
    <r>
      <rPr>
        <sz val="11"/>
        <rFont val="Calibri"/>
        <family val="2"/>
        <scheme val="minor"/>
      </rPr>
      <t xml:space="preserve"> 8/1/2020</t>
    </r>
  </si>
  <si>
    <r>
      <t xml:space="preserve">For RWAs Accepted </t>
    </r>
    <r>
      <rPr>
        <b/>
        <u/>
        <sz val="11"/>
        <rFont val="Calibri"/>
        <family val="2"/>
        <scheme val="minor"/>
      </rPr>
      <t>on or after</t>
    </r>
    <r>
      <rPr>
        <sz val="11"/>
        <rFont val="Calibri"/>
        <family val="2"/>
        <scheme val="minor"/>
      </rPr>
      <t xml:space="preserve"> 8/1/2020</t>
    </r>
  </si>
  <si>
    <r>
      <t xml:space="preserve">Data &amp; Calculation Table - </t>
    </r>
    <r>
      <rPr>
        <b/>
        <sz val="11"/>
        <color indexed="10"/>
        <rFont val="Calibri"/>
        <family val="2"/>
        <scheme val="minor"/>
      </rPr>
      <t>Make NO Changes</t>
    </r>
  </si>
  <si>
    <t>Stepped Fee Model Method</t>
  </si>
  <si>
    <t>TOTAL STEPPED FEE</t>
  </si>
  <si>
    <t>Rate</t>
  </si>
  <si>
    <t>Sub-total</t>
  </si>
  <si>
    <t>Sliding Scale Overhead (not 4% fee)</t>
  </si>
  <si>
    <t>Total RWA Fees =</t>
  </si>
  <si>
    <t>Combined RWA Fee Percentage</t>
  </si>
  <si>
    <t>RWA Fee Percentage</t>
  </si>
  <si>
    <t>4% Regional Managment Fee**</t>
  </si>
  <si>
    <t>**The 4% Regional Management Fee only applies on top of Tenant Improvement (TI) type work</t>
  </si>
  <si>
    <t>which, generally consists of Construction, Design, Space Planning and Studies, Construction</t>
  </si>
  <si>
    <t>Management and Inspection (M&amp;I), and travel associated with these costs.  For all other RWA</t>
  </si>
  <si>
    <t>costs, generally referred to as "Personal Property", the 4% fee is not applied on top of those.</t>
  </si>
  <si>
    <t>The sliding scale overhead fee is applied on top of all RWA costs, included on top of any</t>
  </si>
  <si>
    <t>4% Regional Management Fee.  There is no cap to the 4% Regional Management Fee assessed</t>
  </si>
  <si>
    <t>per RWA.  Sliding scale fees are capped at $30,000 per RWA.</t>
  </si>
  <si>
    <t>The RWA Stepped Fee Structure will apply on top of all RWA expenses.  There is no cap.</t>
  </si>
  <si>
    <t>1) Enter project costs in the blue shaded fields.  Break those costs between construction related costs (where the 4% fee applies) and personal property costs (no 4% fee) or lump them all into one cell or the other.</t>
  </si>
  <si>
    <t>3) The calculators below are only for non-recurring RWAs.  Recurring RWAs (i.e. C-types and R-types) will be charged a flat $500 per RWA (formerly a flat $100).</t>
  </si>
  <si>
    <t>Directions/Overview</t>
  </si>
  <si>
    <t>4) The fee method applied will never change over the RWAs lifetime.  The fee method used will be dependent on the original Acceptance Date of the RWA.</t>
  </si>
  <si>
    <t>Current Sliding Scale Overhead - For Reference Only (amount in blue cell(s) above calculated below)</t>
  </si>
  <si>
    <t>Stepped Fee Model Method  - For Reference Only (amount in blue cell above calculated below)</t>
  </si>
  <si>
    <t>5) The fee method applied will never change over the RWAs lifetime.  The fee method used will be dependent on the original Acceptance Date of the RWA.</t>
  </si>
  <si>
    <t>4) NOTE: If interested, the detailed calculation of each fee method is shown below Excel row 31.  The 4% fee calculation in the left calculator does not have a detailed breakdown, instead the flat 4% is calculated directly in cell F14.</t>
  </si>
  <si>
    <t>2) The calculator on the left will calculate total 4% fee + sliding scale fee.  The calculator on the right will simultanously calculate estimated fees on the same Construction Costs + Personal Property Costs using the new Stepped Fee Structure.</t>
  </si>
  <si>
    <t>Data &amp; Calculation Table - Make NO Changes</t>
  </si>
  <si>
    <r>
      <t xml:space="preserve">For RWAs Accepted </t>
    </r>
    <r>
      <rPr>
        <b/>
        <u/>
        <sz val="14"/>
        <color theme="0"/>
        <rFont val="Calibri"/>
        <family val="2"/>
        <scheme val="minor"/>
      </rPr>
      <t>before</t>
    </r>
    <r>
      <rPr>
        <b/>
        <sz val="14"/>
        <color theme="0"/>
        <rFont val="Calibri"/>
        <family val="2"/>
        <scheme val="minor"/>
      </rPr>
      <t xml:space="preserve"> 8/1/2020</t>
    </r>
  </si>
  <si>
    <r>
      <t xml:space="preserve">For RWAs Accepted </t>
    </r>
    <r>
      <rPr>
        <b/>
        <u/>
        <sz val="14"/>
        <color theme="0"/>
        <rFont val="Calibri"/>
        <family val="2"/>
        <scheme val="minor"/>
      </rPr>
      <t>on or after</t>
    </r>
    <r>
      <rPr>
        <b/>
        <sz val="14"/>
        <color theme="0"/>
        <rFont val="Calibri"/>
        <family val="2"/>
        <scheme val="minor"/>
      </rPr>
      <t xml:space="preserve"> 8/1/2020</t>
    </r>
  </si>
  <si>
    <t>1) Enter estimated project costs in the blue shaded fields.  Break those costs between construction related costs (where the 4% fee applies) and personal property costs (no 4% fee) or lump them all into one cell or the other.</t>
  </si>
  <si>
    <t>5) RWA Acceptance Date Reminder: For Non-severable RWAs (i.e. projects), the Acceptance Date is the date final digital signatures are applied.  For severable services, the Acceptance Date is the first day of the period of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</si>
</sst>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000%"/>
    <numFmt numFmtId="166" formatCode="&quot;$&quot;#,##0"/>
    <numFmt numFmtId="167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44" fontId="2" fillId="0" borderId="0" xfId="1" applyFont="1"/>
    <xf numFmtId="164" fontId="2" fillId="0" borderId="0" xfId="2" applyNumberFormat="1" applyFont="1"/>
    <xf numFmtId="0" fontId="2" fillId="0" borderId="0" xfId="0" applyFont="1" applyAlignment="1">
      <alignment horizontal="right"/>
    </xf>
    <xf numFmtId="165" fontId="2" fillId="3" borderId="14" xfId="2" applyNumberFormat="1" applyFont="1" applyFill="1" applyBorder="1" applyProtection="1">
      <protection locked="0"/>
    </xf>
    <xf numFmtId="165" fontId="2" fillId="0" borderId="0" xfId="0" applyNumberFormat="1" applyFont="1"/>
    <xf numFmtId="0" fontId="2" fillId="0" borderId="0" xfId="0" applyFont="1" applyBorder="1" applyProtection="1">
      <protection hidden="1"/>
    </xf>
    <xf numFmtId="2" fontId="2" fillId="0" borderId="0" xfId="0" applyNumberFormat="1" applyFont="1" applyBorder="1" applyProtection="1">
      <protection hidden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 applyAlignment="1"/>
    <xf numFmtId="0" fontId="2" fillId="0" borderId="0" xfId="0" applyFont="1" applyProtection="1"/>
    <xf numFmtId="0" fontId="3" fillId="0" borderId="0" xfId="0" applyFont="1" applyAlignment="1" applyProtection="1">
      <alignment horizontal="right"/>
      <protection hidden="1"/>
    </xf>
    <xf numFmtId="8" fontId="2" fillId="3" borderId="0" xfId="1" applyNumberFormat="1" applyFont="1" applyFill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4" fontId="2" fillId="4" borderId="0" xfId="1" applyFont="1" applyFill="1" applyProtection="1">
      <protection hidden="1"/>
    </xf>
    <xf numFmtId="0" fontId="3" fillId="0" borderId="1" xfId="0" applyFont="1" applyBorder="1" applyAlignment="1" applyProtection="1">
      <alignment horizontal="centerContinuous"/>
      <protection hidden="1"/>
    </xf>
    <xf numFmtId="0" fontId="3" fillId="0" borderId="2" xfId="0" applyFont="1" applyBorder="1" applyAlignment="1" applyProtection="1">
      <alignment horizontal="centerContinuous"/>
      <protection hidden="1"/>
    </xf>
    <xf numFmtId="0" fontId="3" fillId="0" borderId="3" xfId="0" applyFont="1" applyBorder="1" applyAlignment="1" applyProtection="1">
      <alignment horizontal="centerContinuous"/>
      <protection hidden="1"/>
    </xf>
    <xf numFmtId="0" fontId="2" fillId="0" borderId="15" xfId="0" applyFont="1" applyBorder="1" applyAlignment="1" applyProtection="1">
      <alignment horizontal="center"/>
      <protection hidden="1"/>
    </xf>
    <xf numFmtId="6" fontId="2" fillId="0" borderId="15" xfId="1" applyNumberFormat="1" applyFont="1" applyBorder="1" applyAlignment="1" applyProtection="1">
      <alignment horizontal="center"/>
      <protection hidden="1"/>
    </xf>
    <xf numFmtId="6" fontId="2" fillId="0" borderId="15" xfId="0" applyNumberFormat="1" applyFont="1" applyBorder="1" applyAlignment="1" applyProtection="1">
      <alignment horizontal="center"/>
      <protection hidden="1"/>
    </xf>
    <xf numFmtId="8" fontId="2" fillId="0" borderId="0" xfId="0" applyNumberFormat="1" applyFont="1"/>
    <xf numFmtId="6" fontId="2" fillId="0" borderId="15" xfId="3" applyNumberFormat="1" applyFont="1" applyBorder="1" applyProtection="1">
      <protection hidden="1"/>
    </xf>
    <xf numFmtId="166" fontId="2" fillId="0" borderId="15" xfId="3" applyNumberFormat="1" applyFont="1" applyBorder="1"/>
    <xf numFmtId="0" fontId="2" fillId="0" borderId="15" xfId="3" applyFont="1" applyBorder="1" applyProtection="1">
      <protection hidden="1"/>
    </xf>
    <xf numFmtId="6" fontId="2" fillId="0" borderId="15" xfId="3" applyNumberFormat="1" applyFont="1" applyBorder="1" applyAlignment="1" applyProtection="1">
      <alignment horizontal="right"/>
      <protection hidden="1"/>
    </xf>
    <xf numFmtId="0" fontId="2" fillId="0" borderId="15" xfId="3" applyFont="1" applyFill="1" applyBorder="1" applyProtection="1">
      <protection hidden="1"/>
    </xf>
    <xf numFmtId="166" fontId="2" fillId="0" borderId="15" xfId="3" applyNumberFormat="1" applyFont="1" applyBorder="1" applyProtection="1">
      <protection hidden="1"/>
    </xf>
    <xf numFmtId="166" fontId="2" fillId="0" borderId="15" xfId="3" applyNumberFormat="1" applyFont="1" applyBorder="1" applyAlignment="1" applyProtection="1">
      <alignment horizontal="right"/>
      <protection hidden="1"/>
    </xf>
    <xf numFmtId="8" fontId="2" fillId="0" borderId="15" xfId="0" applyNumberFormat="1" applyFont="1" applyBorder="1" applyAlignment="1" applyProtection="1">
      <alignment horizontal="center"/>
      <protection hidden="1"/>
    </xf>
    <xf numFmtId="167" fontId="2" fillId="0" borderId="15" xfId="0" applyNumberFormat="1" applyFont="1" applyBorder="1"/>
    <xf numFmtId="165" fontId="2" fillId="0" borderId="0" xfId="2" applyNumberFormat="1" applyFont="1"/>
    <xf numFmtId="8" fontId="3" fillId="0" borderId="5" xfId="1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6" fillId="0" borderId="0" xfId="0" quotePrefix="1" applyFont="1" applyBorder="1"/>
    <xf numFmtId="0" fontId="2" fillId="0" borderId="0" xfId="0" quotePrefix="1" applyFont="1" applyBorder="1"/>
    <xf numFmtId="0" fontId="2" fillId="0" borderId="0" xfId="0" quotePrefix="1" applyFont="1" applyFill="1" applyBorder="1" applyAlignment="1"/>
    <xf numFmtId="0" fontId="7" fillId="0" borderId="0" xfId="0" applyFont="1" applyFill="1" applyBorder="1" applyAlignment="1"/>
    <xf numFmtId="0" fontId="3" fillId="3" borderId="12" xfId="0" applyFont="1" applyFill="1" applyBorder="1" applyAlignment="1"/>
    <xf numFmtId="0" fontId="2" fillId="0" borderId="4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4" fillId="0" borderId="0" xfId="0" applyFont="1"/>
    <xf numFmtId="0" fontId="2" fillId="7" borderId="12" xfId="0" applyFont="1" applyFill="1" applyBorder="1"/>
    <xf numFmtId="0" fontId="3" fillId="7" borderId="13" xfId="0" applyFont="1" applyFill="1" applyBorder="1" applyAlignment="1">
      <alignment horizontal="right"/>
    </xf>
    <xf numFmtId="8" fontId="3" fillId="7" borderId="14" xfId="1" applyNumberFormat="1" applyFont="1" applyFill="1" applyBorder="1" applyAlignment="1">
      <alignment horizontal="right"/>
    </xf>
    <xf numFmtId="0" fontId="3" fillId="6" borderId="13" xfId="0" applyFont="1" applyFill="1" applyBorder="1" applyAlignment="1">
      <alignment horizontal="right"/>
    </xf>
    <xf numFmtId="8" fontId="3" fillId="6" borderId="14" xfId="1" applyNumberFormat="1" applyFont="1" applyFill="1" applyBorder="1" applyAlignment="1">
      <alignment horizontal="right"/>
    </xf>
    <xf numFmtId="0" fontId="2" fillId="6" borderId="12" xfId="0" applyFont="1" applyFill="1" applyBorder="1"/>
    <xf numFmtId="8" fontId="2" fillId="7" borderId="11" xfId="1" applyNumberFormat="1" applyFont="1" applyFill="1" applyBorder="1"/>
    <xf numFmtId="8" fontId="3" fillId="2" borderId="5" xfId="0" applyNumberFormat="1" applyFont="1" applyFill="1" applyBorder="1"/>
    <xf numFmtId="8" fontId="9" fillId="0" borderId="5" xfId="1" applyNumberFormat="1" applyFont="1" applyFill="1" applyBorder="1"/>
    <xf numFmtId="8" fontId="3" fillId="6" borderId="11" xfId="1" applyNumberFormat="1" applyFont="1" applyFill="1" applyBorder="1"/>
    <xf numFmtId="8" fontId="2" fillId="0" borderId="8" xfId="0" applyNumberFormat="1" applyFont="1" applyFill="1" applyBorder="1"/>
    <xf numFmtId="8" fontId="3" fillId="2" borderId="3" xfId="0" applyNumberFormat="1" applyFont="1" applyFill="1" applyBorder="1"/>
    <xf numFmtId="8" fontId="10" fillId="0" borderId="5" xfId="1" applyNumberFormat="1" applyFont="1" applyFill="1" applyBorder="1"/>
    <xf numFmtId="0" fontId="2" fillId="8" borderId="0" xfId="0" applyFont="1" applyFill="1"/>
    <xf numFmtId="8" fontId="9" fillId="0" borderId="8" xfId="1" applyNumberFormat="1" applyFont="1" applyFill="1" applyBorder="1"/>
    <xf numFmtId="0" fontId="11" fillId="0" borderId="0" xfId="0" applyFont="1" applyProtection="1"/>
    <xf numFmtId="0" fontId="12" fillId="0" borderId="0" xfId="0" applyFont="1" applyAlignment="1" applyProtection="1">
      <alignment horizontal="right"/>
      <protection hidden="1"/>
    </xf>
    <xf numFmtId="0" fontId="11" fillId="0" borderId="0" xfId="0" applyFont="1"/>
    <xf numFmtId="0" fontId="11" fillId="0" borderId="0" xfId="0" applyFont="1" applyAlignment="1" applyProtection="1">
      <alignment horizontal="right"/>
      <protection hidden="1"/>
    </xf>
    <xf numFmtId="0" fontId="12" fillId="0" borderId="1" xfId="0" applyFont="1" applyBorder="1" applyAlignment="1" applyProtection="1">
      <alignment horizontal="centerContinuous"/>
      <protection hidden="1"/>
    </xf>
    <xf numFmtId="0" fontId="12" fillId="0" borderId="2" xfId="0" applyFont="1" applyBorder="1" applyAlignment="1" applyProtection="1">
      <alignment horizontal="centerContinuous"/>
      <protection hidden="1"/>
    </xf>
    <xf numFmtId="0" fontId="12" fillId="0" borderId="3" xfId="0" applyFont="1" applyBorder="1" applyAlignment="1" applyProtection="1">
      <alignment horizontal="centerContinuous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6" fontId="11" fillId="0" borderId="15" xfId="1" applyNumberFormat="1" applyFont="1" applyBorder="1" applyAlignment="1" applyProtection="1">
      <alignment horizontal="center"/>
      <protection hidden="1"/>
    </xf>
    <xf numFmtId="8" fontId="11" fillId="0" borderId="15" xfId="0" applyNumberFormat="1" applyFont="1" applyBorder="1" applyAlignment="1" applyProtection="1">
      <alignment horizontal="center"/>
      <protection hidden="1"/>
    </xf>
    <xf numFmtId="6" fontId="11" fillId="0" borderId="15" xfId="0" applyNumberFormat="1" applyFont="1" applyBorder="1" applyAlignment="1" applyProtection="1">
      <alignment horizontal="center"/>
      <protection hidden="1"/>
    </xf>
    <xf numFmtId="0" fontId="11" fillId="0" borderId="15" xfId="3" applyFont="1" applyFill="1" applyBorder="1" applyProtection="1">
      <protection hidden="1"/>
    </xf>
    <xf numFmtId="6" fontId="11" fillId="0" borderId="15" xfId="3" applyNumberFormat="1" applyFont="1" applyBorder="1" applyProtection="1">
      <protection hidden="1"/>
    </xf>
    <xf numFmtId="166" fontId="11" fillId="0" borderId="15" xfId="3" applyNumberFormat="1" applyFont="1" applyBorder="1" applyProtection="1">
      <protection hidden="1"/>
    </xf>
    <xf numFmtId="167" fontId="11" fillId="0" borderId="15" xfId="0" applyNumberFormat="1" applyFont="1" applyBorder="1"/>
    <xf numFmtId="166" fontId="11" fillId="0" borderId="15" xfId="3" applyNumberFormat="1" applyFont="1" applyBorder="1"/>
    <xf numFmtId="0" fontId="11" fillId="0" borderId="15" xfId="3" applyFont="1" applyBorder="1" applyProtection="1">
      <protection hidden="1"/>
    </xf>
    <xf numFmtId="166" fontId="11" fillId="0" borderId="15" xfId="3" applyNumberFormat="1" applyFont="1" applyBorder="1" applyAlignment="1" applyProtection="1">
      <alignment horizontal="right"/>
      <protection hidden="1"/>
    </xf>
    <xf numFmtId="6" fontId="11" fillId="0" borderId="15" xfId="3" applyNumberFormat="1" applyFont="1" applyBorder="1" applyAlignment="1" applyProtection="1">
      <alignment horizontal="right"/>
      <protection hidden="1"/>
    </xf>
    <xf numFmtId="44" fontId="11" fillId="9" borderId="0" xfId="1" applyFont="1" applyFill="1" applyProtection="1">
      <protection hidden="1"/>
    </xf>
    <xf numFmtId="8" fontId="11" fillId="9" borderId="0" xfId="1" applyNumberFormat="1" applyFont="1" applyFill="1" applyProtection="1">
      <protection hidden="1"/>
    </xf>
    <xf numFmtId="8" fontId="3" fillId="2" borderId="3" xfId="0" applyNumberFormat="1" applyFont="1" applyFill="1" applyBorder="1" applyProtection="1">
      <protection locked="0"/>
    </xf>
    <xf numFmtId="8" fontId="3" fillId="2" borderId="5" xfId="0" applyNumberFormat="1" applyFont="1" applyFill="1" applyBorder="1" applyProtection="1">
      <protection locked="0"/>
    </xf>
    <xf numFmtId="164" fontId="2" fillId="8" borderId="0" xfId="2" applyNumberFormat="1" applyFont="1" applyFill="1"/>
    <xf numFmtId="165" fontId="2" fillId="8" borderId="0" xfId="0" applyNumberFormat="1" applyFont="1" applyFill="1"/>
    <xf numFmtId="0" fontId="2" fillId="8" borderId="0" xfId="0" applyFont="1" applyFill="1" applyBorder="1"/>
    <xf numFmtId="0" fontId="2" fillId="0" borderId="0" xfId="0" applyFont="1" applyFill="1"/>
    <xf numFmtId="164" fontId="2" fillId="0" borderId="0" xfId="2" applyNumberFormat="1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0" fontId="3" fillId="7" borderId="12" xfId="0" applyFont="1" applyFill="1" applyBorder="1" applyAlignment="1"/>
    <xf numFmtId="0" fontId="3" fillId="7" borderId="13" xfId="0" applyFont="1" applyFill="1" applyBorder="1" applyAlignment="1"/>
    <xf numFmtId="0" fontId="13" fillId="8" borderId="0" xfId="0" applyFont="1" applyFill="1"/>
    <xf numFmtId="0" fontId="13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7" borderId="1" xfId="0" quotePrefix="1" applyFont="1" applyFill="1" applyBorder="1" applyAlignment="1">
      <alignment horizontal="center"/>
    </xf>
    <xf numFmtId="0" fontId="3" fillId="7" borderId="2" xfId="0" quotePrefix="1" applyFont="1" applyFill="1" applyBorder="1" applyAlignment="1">
      <alignment horizontal="center"/>
    </xf>
    <xf numFmtId="0" fontId="3" fillId="7" borderId="3" xfId="0" quotePrefix="1" applyFont="1" applyFill="1" applyBorder="1" applyAlignment="1">
      <alignment horizontal="center"/>
    </xf>
    <xf numFmtId="0" fontId="2" fillId="7" borderId="9" xfId="0" quotePrefix="1" applyFont="1" applyFill="1" applyBorder="1" applyAlignment="1">
      <alignment horizontal="center"/>
    </xf>
    <xf numFmtId="0" fontId="2" fillId="7" borderId="10" xfId="0" quotePrefix="1" applyFont="1" applyFill="1" applyBorder="1" applyAlignment="1">
      <alignment horizontal="center"/>
    </xf>
    <xf numFmtId="0" fontId="2" fillId="7" borderId="11" xfId="0" quotePrefix="1" applyFont="1" applyFill="1" applyBorder="1" applyAlignment="1">
      <alignment horizontal="center"/>
    </xf>
    <xf numFmtId="0" fontId="3" fillId="6" borderId="1" xfId="0" quotePrefix="1" applyFont="1" applyFill="1" applyBorder="1" applyAlignment="1">
      <alignment horizontal="center"/>
    </xf>
    <xf numFmtId="0" fontId="3" fillId="6" borderId="2" xfId="0" quotePrefix="1" applyFont="1" applyFill="1" applyBorder="1" applyAlignment="1">
      <alignment horizontal="center"/>
    </xf>
    <xf numFmtId="0" fontId="3" fillId="6" borderId="3" xfId="0" quotePrefix="1" applyFont="1" applyFill="1" applyBorder="1" applyAlignment="1">
      <alignment horizontal="center"/>
    </xf>
    <xf numFmtId="0" fontId="2" fillId="6" borderId="9" xfId="0" quotePrefix="1" applyFont="1" applyFill="1" applyBorder="1" applyAlignment="1">
      <alignment horizontal="center"/>
    </xf>
    <xf numFmtId="0" fontId="2" fillId="6" borderId="10" xfId="0" quotePrefix="1" applyFont="1" applyFill="1" applyBorder="1" applyAlignment="1">
      <alignment horizontal="center"/>
    </xf>
    <xf numFmtId="0" fontId="2" fillId="6" borderId="11" xfId="0" quotePrefix="1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8" fillId="5" borderId="0" xfId="0" applyFont="1" applyFill="1" applyAlignment="1" applyProtection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9" fillId="0" borderId="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0" fontId="3" fillId="7" borderId="9" xfId="0" applyFont="1" applyFill="1" applyBorder="1" applyAlignment="1">
      <alignment horizontal="right"/>
    </xf>
    <xf numFmtId="0" fontId="3" fillId="7" borderId="10" xfId="0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Normal 3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2:W60"/>
  <sheetViews>
    <sheetView showGridLines="0" showZeros="0" tabSelected="1" zoomScaleNormal="100" workbookViewId="0"/>
  </sheetViews>
  <sheetFormatPr defaultColWidth="9.1796875" defaultRowHeight="14.5" x14ac:dyDescent="0.35"/>
  <cols>
    <col min="1" max="1" width="3.81640625" style="1" customWidth="1"/>
    <col min="2" max="3" width="14.26953125" style="1" customWidth="1"/>
    <col min="4" max="4" width="15.1796875" style="1" customWidth="1"/>
    <col min="5" max="5" width="14.26953125" style="1" customWidth="1"/>
    <col min="6" max="6" width="15" style="1" customWidth="1"/>
    <col min="7" max="7" width="13" style="1" customWidth="1"/>
    <col min="8" max="8" width="10.81640625" style="1" customWidth="1"/>
    <col min="9" max="11" width="3.81640625" style="1" customWidth="1"/>
    <col min="12" max="15" width="14.26953125" style="1" customWidth="1"/>
    <col min="16" max="16" width="15" style="1" customWidth="1"/>
    <col min="17" max="17" width="11.7265625" style="1" customWidth="1"/>
    <col min="18" max="18" width="12.81640625" style="1" customWidth="1"/>
    <col min="19" max="19" width="6.1796875" style="1" customWidth="1"/>
    <col min="20" max="20" width="8.1796875" style="1" customWidth="1"/>
    <col min="21" max="21" width="28.1796875" style="1" customWidth="1"/>
    <col min="22" max="22" width="14" style="1" customWidth="1"/>
    <col min="23" max="23" width="9.453125" style="1" customWidth="1"/>
    <col min="24" max="24" width="9.1796875" style="1" customWidth="1"/>
    <col min="25" max="16384" width="9.1796875" style="1"/>
  </cols>
  <sheetData>
    <row r="2" spans="1:18" x14ac:dyDescent="0.35">
      <c r="B2" s="56" t="s">
        <v>39</v>
      </c>
    </row>
    <row r="3" spans="1:18" x14ac:dyDescent="0.35">
      <c r="B3" s="1" t="s">
        <v>49</v>
      </c>
    </row>
    <row r="4" spans="1:18" x14ac:dyDescent="0.35">
      <c r="B4" s="1" t="s">
        <v>45</v>
      </c>
    </row>
    <row r="5" spans="1:18" x14ac:dyDescent="0.35">
      <c r="B5" s="1" t="s">
        <v>38</v>
      </c>
    </row>
    <row r="6" spans="1:18" x14ac:dyDescent="0.35">
      <c r="B6" s="1" t="s">
        <v>40</v>
      </c>
    </row>
    <row r="7" spans="1:18" x14ac:dyDescent="0.35">
      <c r="B7" s="1" t="s">
        <v>50</v>
      </c>
    </row>
    <row r="9" spans="1:18" s="105" customFormat="1" ht="18.5" x14ac:dyDescent="0.45">
      <c r="A9" s="104"/>
      <c r="B9" s="120" t="s">
        <v>47</v>
      </c>
      <c r="C9" s="120"/>
      <c r="D9" s="120"/>
      <c r="E9" s="120"/>
      <c r="F9" s="120"/>
      <c r="G9" s="120"/>
      <c r="H9" s="120"/>
      <c r="I9" s="104"/>
      <c r="J9" s="104"/>
      <c r="K9" s="104"/>
      <c r="L9" s="120" t="s">
        <v>48</v>
      </c>
      <c r="M9" s="120"/>
      <c r="N9" s="120"/>
      <c r="O9" s="120"/>
      <c r="P9" s="120"/>
      <c r="Q9" s="120"/>
      <c r="R9" s="120"/>
    </row>
    <row r="10" spans="1:18" s="98" customFormat="1" ht="15" thickBot="1" x14ac:dyDescent="0.4">
      <c r="J10" s="70"/>
    </row>
    <row r="11" spans="1:18" x14ac:dyDescent="0.35">
      <c r="A11" s="98"/>
      <c r="B11" s="114" t="s">
        <v>0</v>
      </c>
      <c r="C11" s="115"/>
      <c r="D11" s="115"/>
      <c r="E11" s="115"/>
      <c r="F11" s="115"/>
      <c r="G11" s="115"/>
      <c r="H11" s="116"/>
      <c r="I11" s="98"/>
      <c r="J11" s="70"/>
      <c r="K11" s="98"/>
      <c r="L11" s="108" t="s">
        <v>8</v>
      </c>
      <c r="M11" s="109"/>
      <c r="N11" s="109"/>
      <c r="O11" s="109"/>
      <c r="P11" s="109"/>
      <c r="Q11" s="109"/>
      <c r="R11" s="110"/>
    </row>
    <row r="12" spans="1:18" ht="15" thickBot="1" x14ac:dyDescent="0.4">
      <c r="A12" s="98"/>
      <c r="B12" s="117" t="s">
        <v>17</v>
      </c>
      <c r="C12" s="118"/>
      <c r="D12" s="118"/>
      <c r="E12" s="118"/>
      <c r="F12" s="118"/>
      <c r="G12" s="118"/>
      <c r="H12" s="119"/>
      <c r="I12" s="98"/>
      <c r="J12" s="70"/>
      <c r="K12" s="98"/>
      <c r="L12" s="111" t="s">
        <v>18</v>
      </c>
      <c r="M12" s="112"/>
      <c r="N12" s="112"/>
      <c r="O12" s="112"/>
      <c r="P12" s="112"/>
      <c r="Q12" s="112"/>
      <c r="R12" s="113"/>
    </row>
    <row r="13" spans="1:18" ht="15" thickBot="1" x14ac:dyDescent="0.4">
      <c r="A13" s="98"/>
      <c r="I13" s="98"/>
      <c r="J13" s="70"/>
      <c r="K13" s="98"/>
    </row>
    <row r="14" spans="1:18" x14ac:dyDescent="0.35">
      <c r="A14" s="98"/>
      <c r="B14" s="106" t="s">
        <v>1</v>
      </c>
      <c r="C14" s="107"/>
      <c r="D14" s="107"/>
      <c r="E14" s="107"/>
      <c r="F14" s="93">
        <v>25000</v>
      </c>
      <c r="G14" s="130" t="s">
        <v>2</v>
      </c>
      <c r="H14" s="123"/>
      <c r="I14" s="98"/>
      <c r="J14" s="70"/>
      <c r="K14" s="98"/>
      <c r="L14" s="106" t="s">
        <v>9</v>
      </c>
      <c r="M14" s="107"/>
      <c r="N14" s="107"/>
      <c r="O14" s="107"/>
      <c r="P14" s="93">
        <f>F14+F16</f>
        <v>25000</v>
      </c>
      <c r="Q14" s="122" t="s">
        <v>10</v>
      </c>
      <c r="R14" s="123"/>
    </row>
    <row r="15" spans="1:18" x14ac:dyDescent="0.35">
      <c r="A15" s="98"/>
      <c r="B15" s="124" t="s">
        <v>28</v>
      </c>
      <c r="C15" s="125"/>
      <c r="D15" s="125"/>
      <c r="E15" s="125"/>
      <c r="F15" s="65">
        <f>IF(F14&gt;0,(F14*4%),0)</f>
        <v>1000</v>
      </c>
      <c r="I15" s="98"/>
      <c r="J15" s="70"/>
      <c r="K15" s="98"/>
      <c r="L15" s="126" t="s">
        <v>11</v>
      </c>
      <c r="M15" s="127"/>
      <c r="N15" s="127"/>
      <c r="O15" s="127"/>
      <c r="P15" s="69">
        <f>P37</f>
        <v>3750</v>
      </c>
    </row>
    <row r="16" spans="1:18" x14ac:dyDescent="0.35">
      <c r="A16" s="98"/>
      <c r="B16" s="128" t="s">
        <v>3</v>
      </c>
      <c r="C16" s="129"/>
      <c r="D16" s="129"/>
      <c r="E16" s="129"/>
      <c r="F16" s="94"/>
      <c r="G16" s="130" t="s">
        <v>2</v>
      </c>
      <c r="H16" s="123"/>
      <c r="I16" s="98"/>
      <c r="J16" s="70"/>
      <c r="K16" s="98"/>
      <c r="L16" s="131"/>
      <c r="M16" s="132"/>
      <c r="N16" s="132"/>
      <c r="O16" s="132"/>
      <c r="P16" s="35"/>
    </row>
    <row r="17" spans="1:17" ht="15" thickBot="1" x14ac:dyDescent="0.4">
      <c r="A17" s="99"/>
      <c r="B17" s="133" t="s">
        <v>4</v>
      </c>
      <c r="C17" s="134"/>
      <c r="D17" s="134"/>
      <c r="E17" s="134"/>
      <c r="F17" s="71">
        <f>ROUNDUP(E37,2)</f>
        <v>2195</v>
      </c>
      <c r="I17" s="99"/>
      <c r="J17" s="95"/>
      <c r="K17" s="99"/>
      <c r="L17" s="135"/>
      <c r="M17" s="136"/>
      <c r="N17" s="136"/>
      <c r="O17" s="136"/>
      <c r="P17" s="67"/>
      <c r="Q17" s="3"/>
    </row>
    <row r="18" spans="1:17" ht="15.5" thickTop="1" thickBot="1" x14ac:dyDescent="0.4">
      <c r="A18" s="98"/>
      <c r="B18" s="137" t="s">
        <v>6</v>
      </c>
      <c r="C18" s="138"/>
      <c r="D18" s="138"/>
      <c r="E18" s="138"/>
      <c r="F18" s="66">
        <f>ROUNDUP((F14+F15+F16+F17),2)</f>
        <v>28195</v>
      </c>
      <c r="I18" s="98"/>
      <c r="J18" s="70"/>
      <c r="K18" s="98"/>
      <c r="L18" s="139" t="s">
        <v>6</v>
      </c>
      <c r="M18" s="140"/>
      <c r="N18" s="140"/>
      <c r="O18" s="140"/>
      <c r="P18" s="63">
        <f>SUM(P14:P15)</f>
        <v>28750</v>
      </c>
    </row>
    <row r="19" spans="1:17" ht="15" thickBot="1" x14ac:dyDescent="0.4">
      <c r="A19" s="98"/>
      <c r="E19" s="5"/>
      <c r="H19" s="34"/>
      <c r="I19" s="98"/>
      <c r="J19" s="70"/>
      <c r="K19" s="98"/>
      <c r="O19" s="5"/>
    </row>
    <row r="20" spans="1:17" ht="15" thickBot="1" x14ac:dyDescent="0.4">
      <c r="A20" s="100"/>
      <c r="C20" s="62"/>
      <c r="D20" s="60" t="s">
        <v>25</v>
      </c>
      <c r="E20" s="61">
        <f>F15+F17</f>
        <v>3195</v>
      </c>
      <c r="I20" s="100"/>
      <c r="J20" s="96"/>
      <c r="K20" s="100"/>
      <c r="M20" s="102"/>
      <c r="N20" s="103" t="s">
        <v>25</v>
      </c>
      <c r="O20" s="59">
        <f>P15</f>
        <v>3750</v>
      </c>
    </row>
    <row r="21" spans="1:17" ht="15" thickBot="1" x14ac:dyDescent="0.4">
      <c r="A21" s="98"/>
      <c r="H21" s="3"/>
      <c r="I21" s="98"/>
      <c r="J21" s="70"/>
      <c r="K21" s="98"/>
    </row>
    <row r="22" spans="1:17" s="11" customFormat="1" ht="15" thickBot="1" x14ac:dyDescent="0.4">
      <c r="A22" s="101"/>
      <c r="B22" s="1"/>
      <c r="C22" s="50"/>
      <c r="D22" s="42" t="s">
        <v>26</v>
      </c>
      <c r="E22" s="6">
        <f>ROUND((F15+F17)/(F14+F16),6)</f>
        <v>0.1278</v>
      </c>
      <c r="G22" s="45"/>
      <c r="I22" s="101"/>
      <c r="J22" s="97"/>
      <c r="K22" s="101"/>
      <c r="L22" s="1"/>
      <c r="M22" s="50"/>
      <c r="N22" s="43" t="s">
        <v>27</v>
      </c>
      <c r="O22" s="6">
        <f>ROUND((P15/P14),6)</f>
        <v>0.15</v>
      </c>
    </row>
    <row r="23" spans="1:17" s="11" customFormat="1" ht="15" thickBot="1" x14ac:dyDescent="0.4">
      <c r="A23" s="101"/>
      <c r="E23" s="44"/>
      <c r="F23" s="45"/>
      <c r="G23" s="45"/>
      <c r="I23" s="101"/>
      <c r="J23" s="97"/>
      <c r="K23" s="101"/>
      <c r="L23" s="1"/>
      <c r="M23" s="1"/>
    </row>
    <row r="24" spans="1:17" s="11" customFormat="1" ht="15" thickBot="1" x14ac:dyDescent="0.4">
      <c r="A24" s="101"/>
      <c r="B24" s="36" t="s">
        <v>29</v>
      </c>
      <c r="C24" s="37"/>
      <c r="D24" s="37"/>
      <c r="E24" s="37"/>
      <c r="F24" s="37"/>
      <c r="G24" s="38"/>
      <c r="I24" s="101"/>
      <c r="J24" s="97"/>
      <c r="K24" s="101"/>
      <c r="L24" s="53" t="s">
        <v>36</v>
      </c>
      <c r="M24" s="54"/>
      <c r="N24" s="54"/>
      <c r="O24" s="54"/>
      <c r="P24" s="54"/>
      <c r="Q24" s="55"/>
    </row>
    <row r="25" spans="1:17" s="11" customFormat="1" x14ac:dyDescent="0.35">
      <c r="A25" s="101"/>
      <c r="B25" s="51" t="s">
        <v>30</v>
      </c>
      <c r="G25" s="39"/>
      <c r="I25" s="101"/>
      <c r="J25" s="97"/>
      <c r="K25" s="101"/>
      <c r="L25" s="47"/>
    </row>
    <row r="26" spans="1:17" s="11" customFormat="1" x14ac:dyDescent="0.35">
      <c r="A26" s="101"/>
      <c r="B26" s="51" t="s">
        <v>31</v>
      </c>
      <c r="G26" s="39"/>
      <c r="I26" s="101"/>
      <c r="J26" s="97"/>
      <c r="K26" s="101"/>
      <c r="L26" s="48"/>
    </row>
    <row r="27" spans="1:17" s="11" customFormat="1" x14ac:dyDescent="0.35">
      <c r="A27" s="101"/>
      <c r="B27" s="51" t="s">
        <v>32</v>
      </c>
      <c r="G27" s="39"/>
      <c r="I27" s="101"/>
      <c r="J27" s="97"/>
      <c r="K27" s="101"/>
      <c r="L27" s="48"/>
    </row>
    <row r="28" spans="1:17" s="11" customFormat="1" x14ac:dyDescent="0.35">
      <c r="A28" s="101"/>
      <c r="B28" s="51" t="s">
        <v>33</v>
      </c>
      <c r="G28" s="39"/>
      <c r="I28" s="101"/>
      <c r="J28" s="97"/>
      <c r="K28" s="101"/>
      <c r="L28" s="48"/>
    </row>
    <row r="29" spans="1:17" s="11" customFormat="1" x14ac:dyDescent="0.35">
      <c r="A29" s="101"/>
      <c r="B29" s="51" t="s">
        <v>34</v>
      </c>
      <c r="G29" s="39"/>
      <c r="I29" s="101"/>
      <c r="J29" s="97"/>
      <c r="K29" s="101"/>
      <c r="L29" s="48"/>
    </row>
    <row r="30" spans="1:17" s="11" customFormat="1" ht="15" thickBot="1" x14ac:dyDescent="0.4">
      <c r="A30" s="101"/>
      <c r="B30" s="52" t="s">
        <v>35</v>
      </c>
      <c r="C30" s="40"/>
      <c r="D30" s="40"/>
      <c r="E30" s="40"/>
      <c r="F30" s="40"/>
      <c r="G30" s="41"/>
      <c r="I30" s="101"/>
      <c r="J30" s="97"/>
      <c r="K30" s="101"/>
      <c r="L30" s="48"/>
    </row>
    <row r="31" spans="1:17" s="11" customFormat="1" x14ac:dyDescent="0.35">
      <c r="A31" s="101"/>
      <c r="B31" s="10"/>
      <c r="I31" s="101"/>
      <c r="J31" s="97"/>
      <c r="K31" s="101"/>
      <c r="L31" s="48"/>
    </row>
    <row r="32" spans="1:17" s="11" customFormat="1" hidden="1" x14ac:dyDescent="0.35">
      <c r="B32" s="12"/>
      <c r="L32" s="49"/>
    </row>
    <row r="33" spans="2:23" ht="12.75" hidden="1" customHeight="1" x14ac:dyDescent="0.35">
      <c r="L33" s="49"/>
    </row>
    <row r="34" spans="2:23" ht="12.75" hidden="1" customHeight="1" x14ac:dyDescent="0.35">
      <c r="B34" s="121"/>
      <c r="C34" s="121"/>
      <c r="D34" s="121"/>
      <c r="E34" s="121"/>
      <c r="F34" s="121"/>
      <c r="G34" s="121"/>
      <c r="L34" s="121" t="s">
        <v>20</v>
      </c>
      <c r="M34" s="121"/>
      <c r="N34" s="121"/>
      <c r="O34" s="121"/>
      <c r="P34" s="121"/>
      <c r="Q34" s="121"/>
      <c r="R34" s="121"/>
    </row>
    <row r="35" spans="2:23" hidden="1" x14ac:dyDescent="0.35">
      <c r="O35" s="24"/>
      <c r="S35" s="8"/>
      <c r="T35" s="8"/>
      <c r="U35" s="8"/>
      <c r="V35" s="9"/>
      <c r="W35" s="8"/>
    </row>
    <row r="36" spans="2:23" hidden="1" x14ac:dyDescent="0.35">
      <c r="B36" s="13"/>
      <c r="C36" s="13"/>
      <c r="D36" s="14" t="s">
        <v>5</v>
      </c>
      <c r="E36" s="15">
        <f>ROUNDUP(F14+F15+F16,2)</f>
        <v>26000</v>
      </c>
      <c r="F36" s="13"/>
      <c r="G36" s="13"/>
      <c r="O36" s="14" t="s">
        <v>5</v>
      </c>
      <c r="P36" s="15">
        <f>P14</f>
        <v>25000</v>
      </c>
    </row>
    <row r="37" spans="2:23" hidden="1" x14ac:dyDescent="0.35">
      <c r="B37" s="13"/>
      <c r="C37" s="13"/>
      <c r="D37" s="16" t="s">
        <v>24</v>
      </c>
      <c r="E37" s="17">
        <f>ROUNDUP(IF(E36&gt;2425000,30000,SUM(E42:E49)),2)</f>
        <v>2195</v>
      </c>
      <c r="F37" s="13"/>
      <c r="O37" s="16" t="s">
        <v>21</v>
      </c>
      <c r="P37" s="17">
        <f>ROUNDUP(IF(P36=0,0,SUM(P42:P60)),2)</f>
        <v>3750</v>
      </c>
    </row>
    <row r="38" spans="2:23" hidden="1" x14ac:dyDescent="0.35">
      <c r="B38" s="13"/>
      <c r="C38" s="13"/>
      <c r="D38" s="14" t="s">
        <v>7</v>
      </c>
      <c r="E38" s="17">
        <f>ROUNDUP((E37+E36),2)</f>
        <v>28195</v>
      </c>
      <c r="F38" s="13"/>
      <c r="O38" s="14" t="s">
        <v>7</v>
      </c>
      <c r="P38" s="17">
        <f>ROUNDUP((P37+P36),2)</f>
        <v>28750</v>
      </c>
    </row>
    <row r="39" spans="2:23" hidden="1" x14ac:dyDescent="0.35">
      <c r="B39" s="13"/>
      <c r="C39" s="13"/>
      <c r="D39" s="13"/>
      <c r="E39" s="13"/>
      <c r="F39" s="13"/>
    </row>
    <row r="40" spans="2:23" hidden="1" x14ac:dyDescent="0.35">
      <c r="B40" s="18" t="s">
        <v>19</v>
      </c>
      <c r="C40" s="19"/>
      <c r="D40" s="19"/>
      <c r="E40" s="19"/>
      <c r="F40" s="20"/>
    </row>
    <row r="41" spans="2:23" hidden="1" x14ac:dyDescent="0.35">
      <c r="B41" s="21" t="s">
        <v>22</v>
      </c>
      <c r="C41" s="21" t="s">
        <v>12</v>
      </c>
      <c r="D41" s="21" t="s">
        <v>13</v>
      </c>
      <c r="E41" s="21" t="s">
        <v>23</v>
      </c>
      <c r="F41" s="21" t="s">
        <v>14</v>
      </c>
      <c r="M41" s="21" t="s">
        <v>22</v>
      </c>
      <c r="N41" s="21" t="s">
        <v>12</v>
      </c>
      <c r="O41" s="21" t="s">
        <v>13</v>
      </c>
      <c r="P41" s="21" t="s">
        <v>23</v>
      </c>
      <c r="Q41" s="21" t="s">
        <v>14</v>
      </c>
    </row>
    <row r="42" spans="2:23" hidden="1" x14ac:dyDescent="0.35">
      <c r="B42" s="21">
        <v>0.1</v>
      </c>
      <c r="C42" s="22">
        <v>0</v>
      </c>
      <c r="D42" s="22">
        <v>2499</v>
      </c>
      <c r="E42" s="32">
        <f>ROUNDUP(IF(E36&gt;D42,250,E36*B42),2)</f>
        <v>250</v>
      </c>
      <c r="F42" s="23">
        <v>250</v>
      </c>
      <c r="M42" s="29" t="s">
        <v>15</v>
      </c>
      <c r="N42" s="25">
        <v>0.01</v>
      </c>
      <c r="O42" s="30">
        <v>1999</v>
      </c>
      <c r="P42" s="33">
        <f>IF(($P$36&lt;O42),500,0)</f>
        <v>0</v>
      </c>
      <c r="Q42" s="26">
        <v>500</v>
      </c>
    </row>
    <row r="43" spans="2:23" hidden="1" x14ac:dyDescent="0.35">
      <c r="B43" s="21">
        <v>0.09</v>
      </c>
      <c r="C43" s="22">
        <v>2500</v>
      </c>
      <c r="D43" s="22">
        <v>9999</v>
      </c>
      <c r="E43" s="32">
        <f>ROUNDUP(IF(E36&gt;D43,F43,IF(AND(E36&gt;D42,E36&lt;=D43),(E36-C43)*B43,0)),2)</f>
        <v>675</v>
      </c>
      <c r="F43" s="23">
        <v>675</v>
      </c>
      <c r="M43" s="29">
        <v>0.25</v>
      </c>
      <c r="N43" s="25">
        <v>2000</v>
      </c>
      <c r="O43" s="30">
        <v>4999</v>
      </c>
      <c r="P43" s="33">
        <f t="shared" ref="P43:P59" si="0">IF((AND($P$36&gt;=N43,$P$36&lt;N44)),$P$36*M43,0)</f>
        <v>0</v>
      </c>
      <c r="Q43" s="26">
        <f t="shared" ref="Q43:Q59" si="1">N44*M43</f>
        <v>1250</v>
      </c>
    </row>
    <row r="44" spans="2:23" hidden="1" x14ac:dyDescent="0.35">
      <c r="B44" s="21">
        <v>0.08</v>
      </c>
      <c r="C44" s="22">
        <v>10000</v>
      </c>
      <c r="D44" s="22">
        <v>24999</v>
      </c>
      <c r="E44" s="32">
        <f>ROUNDUP(IF(E36&gt;D44,F44,IF(AND(E36&gt;D43,E36&lt;=D44),(E36-C44)*B44,0)),2)</f>
        <v>1200</v>
      </c>
      <c r="F44" s="23">
        <v>1200</v>
      </c>
      <c r="M44" s="29">
        <v>0.23</v>
      </c>
      <c r="N44" s="25">
        <v>5000</v>
      </c>
      <c r="O44" s="30">
        <v>9999</v>
      </c>
      <c r="P44" s="33">
        <f t="shared" si="0"/>
        <v>0</v>
      </c>
      <c r="Q44" s="26">
        <f t="shared" si="1"/>
        <v>2300</v>
      </c>
    </row>
    <row r="45" spans="2:23" hidden="1" x14ac:dyDescent="0.35">
      <c r="B45" s="21">
        <v>7.0000000000000007E-2</v>
      </c>
      <c r="C45" s="22">
        <v>25000</v>
      </c>
      <c r="D45" s="22">
        <v>49999</v>
      </c>
      <c r="E45" s="32">
        <f>ROUNDUP(IF(E36&gt;D45,F45,IF(AND(E36&gt;D44,E36&lt;=D45),(E36-C45)*B45,0)),2)</f>
        <v>70</v>
      </c>
      <c r="F45" s="23">
        <v>1750</v>
      </c>
      <c r="M45" s="29">
        <v>0.21</v>
      </c>
      <c r="N45" s="25">
        <v>10000</v>
      </c>
      <c r="O45" s="30">
        <v>14999</v>
      </c>
      <c r="P45" s="33">
        <f t="shared" si="0"/>
        <v>0</v>
      </c>
      <c r="Q45" s="26">
        <f t="shared" si="1"/>
        <v>3150</v>
      </c>
    </row>
    <row r="46" spans="2:23" hidden="1" x14ac:dyDescent="0.35">
      <c r="B46" s="21">
        <v>0.05</v>
      </c>
      <c r="C46" s="22">
        <v>50000</v>
      </c>
      <c r="D46" s="22">
        <v>99999</v>
      </c>
      <c r="E46" s="32">
        <f>ROUNDUP(IF(E36&gt;D46,F46,IF(AND(E36&gt;D45,E36&lt;=D46),(E36-C46)*B46,0)),2)</f>
        <v>0</v>
      </c>
      <c r="F46" s="23">
        <v>2500</v>
      </c>
      <c r="M46" s="29">
        <v>0.19</v>
      </c>
      <c r="N46" s="25">
        <v>15000</v>
      </c>
      <c r="O46" s="30">
        <v>19999</v>
      </c>
      <c r="P46" s="33">
        <f t="shared" si="0"/>
        <v>0</v>
      </c>
      <c r="Q46" s="26">
        <f t="shared" si="1"/>
        <v>3800</v>
      </c>
    </row>
    <row r="47" spans="2:23" hidden="1" x14ac:dyDescent="0.35">
      <c r="B47" s="21">
        <v>0.03</v>
      </c>
      <c r="C47" s="22">
        <v>100000</v>
      </c>
      <c r="D47" s="22">
        <v>299999</v>
      </c>
      <c r="E47" s="32">
        <f>ROUNDUP(IF(E36&gt;D47,F47,IF(AND(E36&gt;D46,E36&lt;=D47),(E36-C47)*B47,0)),2)</f>
        <v>0</v>
      </c>
      <c r="F47" s="23">
        <v>6000</v>
      </c>
      <c r="M47" s="29">
        <v>0.17</v>
      </c>
      <c r="N47" s="25">
        <v>20000</v>
      </c>
      <c r="O47" s="30">
        <v>24999</v>
      </c>
      <c r="P47" s="33">
        <f t="shared" si="0"/>
        <v>0</v>
      </c>
      <c r="Q47" s="26">
        <f t="shared" si="1"/>
        <v>4250</v>
      </c>
    </row>
    <row r="48" spans="2:23" hidden="1" x14ac:dyDescent="0.35">
      <c r="B48" s="21">
        <v>1.4999999999999999E-2</v>
      </c>
      <c r="C48" s="22">
        <v>300000</v>
      </c>
      <c r="D48" s="22">
        <v>999999</v>
      </c>
      <c r="E48" s="32">
        <f>ROUNDUP(IF(E36&gt;D48,F48,IF(AND(E36&gt;D47,E36&lt;=D48),(E36-C48)*B48,0)),2)</f>
        <v>0</v>
      </c>
      <c r="F48" s="23">
        <v>10500</v>
      </c>
      <c r="M48" s="27">
        <v>0.15</v>
      </c>
      <c r="N48" s="25">
        <v>25000</v>
      </c>
      <c r="O48" s="30">
        <v>49999</v>
      </c>
      <c r="P48" s="33">
        <f t="shared" si="0"/>
        <v>3750</v>
      </c>
      <c r="Q48" s="26">
        <f t="shared" si="1"/>
        <v>7500</v>
      </c>
    </row>
    <row r="49" spans="2:17" hidden="1" x14ac:dyDescent="0.35">
      <c r="B49" s="21">
        <v>5.0000000000000001E-3</v>
      </c>
      <c r="C49" s="22">
        <v>1000000</v>
      </c>
      <c r="D49" s="22">
        <v>2425000</v>
      </c>
      <c r="E49" s="32">
        <f>ROUNDUP(IF(E36&gt;D49,F49,IF(AND(E36&gt;D48,E36&lt;=D49),(E36-C49)*B49,0)),2)</f>
        <v>0</v>
      </c>
      <c r="F49" s="23">
        <v>7125</v>
      </c>
      <c r="M49" s="27">
        <v>0.14000000000000001</v>
      </c>
      <c r="N49" s="25">
        <v>50000</v>
      </c>
      <c r="O49" s="30">
        <v>99999</v>
      </c>
      <c r="P49" s="33">
        <f t="shared" si="0"/>
        <v>0</v>
      </c>
      <c r="Q49" s="26">
        <f t="shared" si="1"/>
        <v>14000.000000000002</v>
      </c>
    </row>
    <row r="50" spans="2:17" hidden="1" x14ac:dyDescent="0.35">
      <c r="M50" s="27">
        <v>0.13</v>
      </c>
      <c r="N50" s="25">
        <v>100000</v>
      </c>
      <c r="O50" s="30">
        <v>149999</v>
      </c>
      <c r="P50" s="33">
        <f t="shared" si="0"/>
        <v>0</v>
      </c>
      <c r="Q50" s="26">
        <f t="shared" si="1"/>
        <v>19500</v>
      </c>
    </row>
    <row r="51" spans="2:17" hidden="1" x14ac:dyDescent="0.35">
      <c r="M51" s="27">
        <v>0.12</v>
      </c>
      <c r="N51" s="25">
        <v>150000</v>
      </c>
      <c r="O51" s="30">
        <v>199999</v>
      </c>
      <c r="P51" s="33">
        <f t="shared" si="0"/>
        <v>0</v>
      </c>
      <c r="Q51" s="26">
        <f t="shared" si="1"/>
        <v>24000</v>
      </c>
    </row>
    <row r="52" spans="2:17" hidden="1" x14ac:dyDescent="0.35">
      <c r="M52" s="27">
        <v>0.11</v>
      </c>
      <c r="N52" s="25">
        <v>200000</v>
      </c>
      <c r="O52" s="30">
        <v>249999</v>
      </c>
      <c r="P52" s="33">
        <f t="shared" si="0"/>
        <v>0</v>
      </c>
      <c r="Q52" s="26">
        <f t="shared" si="1"/>
        <v>27500</v>
      </c>
    </row>
    <row r="53" spans="2:17" hidden="1" x14ac:dyDescent="0.35">
      <c r="M53" s="27">
        <v>0.1</v>
      </c>
      <c r="N53" s="25">
        <v>250000</v>
      </c>
      <c r="O53" s="30">
        <v>349999</v>
      </c>
      <c r="P53" s="33">
        <f t="shared" si="0"/>
        <v>0</v>
      </c>
      <c r="Q53" s="26">
        <f t="shared" si="1"/>
        <v>35000</v>
      </c>
    </row>
    <row r="54" spans="2:17" hidden="1" x14ac:dyDescent="0.35">
      <c r="M54" s="27">
        <v>0.09</v>
      </c>
      <c r="N54" s="25">
        <v>350000</v>
      </c>
      <c r="O54" s="30">
        <v>499999</v>
      </c>
      <c r="P54" s="33">
        <f t="shared" si="0"/>
        <v>0</v>
      </c>
      <c r="Q54" s="26">
        <f t="shared" si="1"/>
        <v>45000</v>
      </c>
    </row>
    <row r="55" spans="2:17" hidden="1" x14ac:dyDescent="0.35">
      <c r="M55" s="27">
        <v>0.08</v>
      </c>
      <c r="N55" s="25">
        <v>500000</v>
      </c>
      <c r="O55" s="30">
        <v>749999</v>
      </c>
      <c r="P55" s="33">
        <f t="shared" si="0"/>
        <v>0</v>
      </c>
      <c r="Q55" s="26">
        <f t="shared" si="1"/>
        <v>60000</v>
      </c>
    </row>
    <row r="56" spans="2:17" hidden="1" x14ac:dyDescent="0.35">
      <c r="M56" s="27">
        <v>7.0000000000000007E-2</v>
      </c>
      <c r="N56" s="25">
        <v>750000</v>
      </c>
      <c r="O56" s="30">
        <v>1249999</v>
      </c>
      <c r="P56" s="33">
        <f t="shared" si="0"/>
        <v>0</v>
      </c>
      <c r="Q56" s="26">
        <f t="shared" si="1"/>
        <v>87500.000000000015</v>
      </c>
    </row>
    <row r="57" spans="2:17" hidden="1" x14ac:dyDescent="0.35">
      <c r="M57" s="27">
        <v>0.06</v>
      </c>
      <c r="N57" s="25">
        <v>1250000</v>
      </c>
      <c r="O57" s="30">
        <v>1999999</v>
      </c>
      <c r="P57" s="33">
        <f t="shared" si="0"/>
        <v>0</v>
      </c>
      <c r="Q57" s="26">
        <f t="shared" si="1"/>
        <v>120000</v>
      </c>
    </row>
    <row r="58" spans="2:17" hidden="1" x14ac:dyDescent="0.35">
      <c r="M58" s="27">
        <v>0.05</v>
      </c>
      <c r="N58" s="25">
        <v>2000000</v>
      </c>
      <c r="O58" s="30">
        <v>2999999</v>
      </c>
      <c r="P58" s="33">
        <f t="shared" si="0"/>
        <v>0</v>
      </c>
      <c r="Q58" s="26">
        <f t="shared" si="1"/>
        <v>150000</v>
      </c>
    </row>
    <row r="59" spans="2:17" hidden="1" x14ac:dyDescent="0.35">
      <c r="M59" s="27">
        <v>0.04</v>
      </c>
      <c r="N59" s="25">
        <v>3000000</v>
      </c>
      <c r="O59" s="30">
        <v>4999999</v>
      </c>
      <c r="P59" s="33">
        <f t="shared" si="0"/>
        <v>0</v>
      </c>
      <c r="Q59" s="26">
        <f t="shared" si="1"/>
        <v>200000</v>
      </c>
    </row>
    <row r="60" spans="2:17" hidden="1" x14ac:dyDescent="0.35">
      <c r="M60" s="27">
        <v>0.03</v>
      </c>
      <c r="N60" s="25">
        <v>5000000</v>
      </c>
      <c r="O60" s="31" t="s">
        <v>16</v>
      </c>
      <c r="P60" s="33">
        <f>IF(($P$36&gt;=N60),$P$36*M60,0)</f>
        <v>0</v>
      </c>
      <c r="Q60" s="28" t="s">
        <v>16</v>
      </c>
    </row>
  </sheetData>
  <sheetProtection password="CC60" sheet="1" objects="1" scenarios="1"/>
  <mergeCells count="21">
    <mergeCell ref="B9:H9"/>
    <mergeCell ref="L9:R9"/>
    <mergeCell ref="L34:R34"/>
    <mergeCell ref="Q14:R14"/>
    <mergeCell ref="B15:E15"/>
    <mergeCell ref="L15:O15"/>
    <mergeCell ref="B16:E16"/>
    <mergeCell ref="G16:H16"/>
    <mergeCell ref="L16:O16"/>
    <mergeCell ref="B17:E17"/>
    <mergeCell ref="L17:O17"/>
    <mergeCell ref="B18:E18"/>
    <mergeCell ref="L18:O18"/>
    <mergeCell ref="B34:G34"/>
    <mergeCell ref="B14:E14"/>
    <mergeCell ref="G14:H14"/>
    <mergeCell ref="L14:O14"/>
    <mergeCell ref="L11:R11"/>
    <mergeCell ref="L12:R12"/>
    <mergeCell ref="B11:H11"/>
    <mergeCell ref="B12:H12"/>
  </mergeCells>
  <printOptions horizontalCentered="1" gridLinesSet="0"/>
  <pageMargins left="0.25" right="0.25" top="1" bottom="1" header="0.5" footer="0.5"/>
  <pageSetup scale="82" orientation="landscape" horizontalDpi="4294967292" r:id="rId1"/>
  <headerFooter alignWithMargins="0">
    <oddHeader>&amp;C&amp;F</oddHeader>
  </headerFooter>
  <colBreaks count="1" manualBreakCount="1">
    <brk id="15" min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  <pageSetUpPr fitToPage="1"/>
  </sheetPr>
  <dimension ref="A2:U59"/>
  <sheetViews>
    <sheetView showGridLines="0" showZeros="0" zoomScaleNormal="100" workbookViewId="0">
      <selection activeCell="A20" sqref="A20"/>
    </sheetView>
  </sheetViews>
  <sheetFormatPr defaultColWidth="9.1796875" defaultRowHeight="14.5" x14ac:dyDescent="0.35"/>
  <cols>
    <col min="1" max="1" width="9.1796875" style="1"/>
    <col min="2" max="2" width="14.26953125" style="1" customWidth="1"/>
    <col min="3" max="3" width="14" style="1" customWidth="1"/>
    <col min="4" max="4" width="15.54296875" style="1" customWidth="1"/>
    <col min="5" max="5" width="15.7265625" style="1" customWidth="1"/>
    <col min="6" max="6" width="15" style="1" customWidth="1"/>
    <col min="7" max="7" width="13" style="1" customWidth="1"/>
    <col min="8" max="8" width="14.7265625" style="1" customWidth="1"/>
    <col min="9" max="9" width="6.1796875" style="1" customWidth="1"/>
    <col min="10" max="13" width="14.26953125" style="1" customWidth="1"/>
    <col min="14" max="14" width="15" style="1" customWidth="1"/>
    <col min="15" max="15" width="11.7265625" style="1" customWidth="1"/>
    <col min="16" max="16" width="14.7265625" style="1" customWidth="1"/>
    <col min="17" max="17" width="6.1796875" style="1" customWidth="1"/>
    <col min="18" max="18" width="8.1796875" style="1" customWidth="1"/>
    <col min="19" max="19" width="28.1796875" style="1" customWidth="1"/>
    <col min="20" max="20" width="14" style="1" customWidth="1"/>
    <col min="21" max="21" width="9.453125" style="1" customWidth="1"/>
    <col min="22" max="22" width="9.1796875" style="1" customWidth="1"/>
    <col min="23" max="16384" width="9.1796875" style="1"/>
  </cols>
  <sheetData>
    <row r="2" spans="1:16" x14ac:dyDescent="0.35">
      <c r="B2" s="56" t="s">
        <v>39</v>
      </c>
    </row>
    <row r="3" spans="1:16" x14ac:dyDescent="0.35">
      <c r="B3" s="1" t="s">
        <v>37</v>
      </c>
    </row>
    <row r="4" spans="1:16" x14ac:dyDescent="0.35">
      <c r="B4" s="1" t="s">
        <v>45</v>
      </c>
    </row>
    <row r="5" spans="1:16" x14ac:dyDescent="0.35">
      <c r="B5" s="1" t="s">
        <v>38</v>
      </c>
    </row>
    <row r="6" spans="1:16" x14ac:dyDescent="0.35">
      <c r="B6" s="1" t="s">
        <v>44</v>
      </c>
    </row>
    <row r="7" spans="1:16" x14ac:dyDescent="0.35">
      <c r="B7" s="1" t="s">
        <v>43</v>
      </c>
    </row>
    <row r="8" spans="1:16" x14ac:dyDescent="0.3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5" thickBot="1" x14ac:dyDescent="0.4"/>
    <row r="10" spans="1:16" x14ac:dyDescent="0.35">
      <c r="B10" s="114" t="s">
        <v>0</v>
      </c>
      <c r="C10" s="115"/>
      <c r="D10" s="115"/>
      <c r="E10" s="115"/>
      <c r="F10" s="116"/>
      <c r="H10" s="2"/>
      <c r="J10" s="108" t="s">
        <v>8</v>
      </c>
      <c r="K10" s="109"/>
      <c r="L10" s="109"/>
      <c r="M10" s="109"/>
      <c r="N10" s="110"/>
    </row>
    <row r="11" spans="1:16" ht="15" thickBot="1" x14ac:dyDescent="0.4">
      <c r="B11" s="117" t="s">
        <v>17</v>
      </c>
      <c r="C11" s="118"/>
      <c r="D11" s="118"/>
      <c r="E11" s="118"/>
      <c r="F11" s="119"/>
      <c r="H11" s="2"/>
      <c r="J11" s="111" t="s">
        <v>18</v>
      </c>
      <c r="K11" s="112"/>
      <c r="L11" s="112"/>
      <c r="M11" s="112"/>
      <c r="N11" s="113"/>
    </row>
    <row r="12" spans="1:16" ht="15" thickBot="1" x14ac:dyDescent="0.4"/>
    <row r="13" spans="1:16" x14ac:dyDescent="0.35">
      <c r="B13" s="106" t="s">
        <v>1</v>
      </c>
      <c r="C13" s="107"/>
      <c r="D13" s="107"/>
      <c r="E13" s="107"/>
      <c r="F13" s="68">
        <v>5000000</v>
      </c>
      <c r="G13" s="130" t="s">
        <v>2</v>
      </c>
      <c r="H13" s="123"/>
      <c r="J13" s="106" t="s">
        <v>9</v>
      </c>
      <c r="K13" s="107"/>
      <c r="L13" s="107"/>
      <c r="M13" s="107"/>
      <c r="N13" s="68">
        <f>F13+F15</f>
        <v>5051000</v>
      </c>
      <c r="O13" s="122" t="s">
        <v>10</v>
      </c>
      <c r="P13" s="123"/>
    </row>
    <row r="14" spans="1:16" x14ac:dyDescent="0.35">
      <c r="B14" s="124" t="s">
        <v>28</v>
      </c>
      <c r="C14" s="125"/>
      <c r="D14" s="125"/>
      <c r="E14" s="125"/>
      <c r="F14" s="65">
        <f>IF(F13&gt;0,(F13*4%),0)</f>
        <v>200000</v>
      </c>
      <c r="J14" s="126" t="s">
        <v>11</v>
      </c>
      <c r="K14" s="127"/>
      <c r="L14" s="127"/>
      <c r="M14" s="127"/>
      <c r="N14" s="69">
        <f>M36</f>
        <v>151530</v>
      </c>
    </row>
    <row r="15" spans="1:16" x14ac:dyDescent="0.35">
      <c r="B15" s="128" t="s">
        <v>3</v>
      </c>
      <c r="C15" s="129"/>
      <c r="D15" s="129"/>
      <c r="E15" s="129"/>
      <c r="F15" s="64">
        <v>51000</v>
      </c>
      <c r="G15" s="130" t="s">
        <v>2</v>
      </c>
      <c r="H15" s="123"/>
      <c r="J15" s="131"/>
      <c r="K15" s="132"/>
      <c r="L15" s="132"/>
      <c r="M15" s="132"/>
      <c r="N15" s="35"/>
    </row>
    <row r="16" spans="1:16" ht="15" thickBot="1" x14ac:dyDescent="0.4">
      <c r="B16" s="133" t="s">
        <v>4</v>
      </c>
      <c r="C16" s="134"/>
      <c r="D16" s="134"/>
      <c r="E16" s="134"/>
      <c r="F16" s="71">
        <f>ROUNDUP(E36,2)</f>
        <v>30000</v>
      </c>
      <c r="I16" s="4"/>
      <c r="J16" s="135"/>
      <c r="K16" s="136"/>
      <c r="L16" s="136"/>
      <c r="M16" s="136"/>
      <c r="N16" s="67"/>
      <c r="O16" s="3"/>
    </row>
    <row r="17" spans="1:16" ht="15.5" thickTop="1" thickBot="1" x14ac:dyDescent="0.4">
      <c r="B17" s="137" t="s">
        <v>6</v>
      </c>
      <c r="C17" s="138"/>
      <c r="D17" s="138"/>
      <c r="E17" s="138"/>
      <c r="F17" s="66">
        <f>ROUNDUP((F13+F14+F15+F16),2)</f>
        <v>5281000</v>
      </c>
      <c r="J17" s="139" t="s">
        <v>6</v>
      </c>
      <c r="K17" s="140"/>
      <c r="L17" s="140"/>
      <c r="M17" s="140"/>
      <c r="N17" s="63">
        <f>SUM(N13:N14)</f>
        <v>5202530</v>
      </c>
    </row>
    <row r="18" spans="1:16" ht="15" thickBot="1" x14ac:dyDescent="0.4">
      <c r="E18" s="5"/>
      <c r="H18" s="34"/>
      <c r="M18" s="5"/>
    </row>
    <row r="19" spans="1:16" ht="15" thickBot="1" x14ac:dyDescent="0.4">
      <c r="D19" s="62"/>
      <c r="E19" s="60" t="s">
        <v>25</v>
      </c>
      <c r="F19" s="61">
        <f>F14+F16</f>
        <v>230000</v>
      </c>
      <c r="I19" s="7"/>
      <c r="L19" s="57"/>
      <c r="M19" s="58" t="s">
        <v>25</v>
      </c>
      <c r="N19" s="59">
        <f>N14</f>
        <v>151530</v>
      </c>
    </row>
    <row r="20" spans="1:16" ht="15" thickBot="1" x14ac:dyDescent="0.4">
      <c r="H20" s="3"/>
    </row>
    <row r="21" spans="1:16" s="11" customFormat="1" ht="15" thickBot="1" x14ac:dyDescent="0.4">
      <c r="B21" s="1"/>
      <c r="C21" s="1"/>
      <c r="D21" s="50"/>
      <c r="E21" s="42" t="s">
        <v>26</v>
      </c>
      <c r="F21" s="6">
        <f>ROUND((F14+F16)/(F13+F15),6)</f>
        <v>4.5536E-2</v>
      </c>
      <c r="G21" s="45"/>
      <c r="J21" s="1"/>
      <c r="K21" s="1"/>
      <c r="L21" s="50"/>
      <c r="M21" s="43" t="s">
        <v>27</v>
      </c>
      <c r="N21" s="6">
        <f>ROUND((N14/N13),6)</f>
        <v>0.03</v>
      </c>
    </row>
    <row r="22" spans="1:16" s="11" customFormat="1" ht="15" thickBot="1" x14ac:dyDescent="0.4">
      <c r="A22" s="46"/>
      <c r="E22" s="44"/>
      <c r="F22" s="45"/>
      <c r="G22" s="45"/>
      <c r="J22" s="1"/>
      <c r="K22" s="1"/>
    </row>
    <row r="23" spans="1:16" s="11" customFormat="1" ht="15" thickBot="1" x14ac:dyDescent="0.4">
      <c r="B23" s="36" t="s">
        <v>29</v>
      </c>
      <c r="C23" s="37"/>
      <c r="D23" s="37"/>
      <c r="E23" s="37"/>
      <c r="F23" s="37"/>
      <c r="G23" s="38"/>
      <c r="J23" s="53" t="s">
        <v>36</v>
      </c>
      <c r="K23" s="54"/>
      <c r="L23" s="54"/>
      <c r="M23" s="54"/>
      <c r="N23" s="54"/>
      <c r="O23" s="55"/>
    </row>
    <row r="24" spans="1:16" s="11" customFormat="1" x14ac:dyDescent="0.35">
      <c r="B24" s="51" t="s">
        <v>30</v>
      </c>
      <c r="G24" s="39"/>
      <c r="J24" s="47"/>
    </row>
    <row r="25" spans="1:16" s="11" customFormat="1" x14ac:dyDescent="0.35">
      <c r="B25" s="51" t="s">
        <v>31</v>
      </c>
      <c r="G25" s="39"/>
      <c r="J25" s="48"/>
    </row>
    <row r="26" spans="1:16" s="11" customFormat="1" x14ac:dyDescent="0.35">
      <c r="B26" s="51" t="s">
        <v>32</v>
      </c>
      <c r="G26" s="39"/>
      <c r="J26" s="48"/>
    </row>
    <row r="27" spans="1:16" s="11" customFormat="1" x14ac:dyDescent="0.35">
      <c r="B27" s="51" t="s">
        <v>33</v>
      </c>
      <c r="G27" s="39"/>
      <c r="J27" s="48"/>
    </row>
    <row r="28" spans="1:16" s="11" customFormat="1" x14ac:dyDescent="0.35">
      <c r="B28" s="51" t="s">
        <v>34</v>
      </c>
      <c r="G28" s="39"/>
      <c r="J28" s="48"/>
    </row>
    <row r="29" spans="1:16" s="11" customFormat="1" ht="15" thickBot="1" x14ac:dyDescent="0.4">
      <c r="B29" s="52" t="s">
        <v>35</v>
      </c>
      <c r="C29" s="40"/>
      <c r="D29" s="40"/>
      <c r="E29" s="40"/>
      <c r="F29" s="40"/>
      <c r="G29" s="41"/>
      <c r="J29" s="48"/>
    </row>
    <row r="30" spans="1:16" s="11" customFormat="1" x14ac:dyDescent="0.35">
      <c r="B30" s="10"/>
      <c r="J30" s="48"/>
    </row>
    <row r="31" spans="1:16" x14ac:dyDescent="0.3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2.75" customHeight="1" x14ac:dyDescent="0.35">
      <c r="J32" s="49"/>
    </row>
    <row r="33" spans="1:21" ht="12.75" customHeight="1" x14ac:dyDescent="0.35">
      <c r="A33" s="121" t="s">
        <v>41</v>
      </c>
      <c r="B33" s="121"/>
      <c r="C33" s="121"/>
      <c r="D33" s="121"/>
      <c r="E33" s="121"/>
      <c r="F33" s="121"/>
      <c r="G33" s="121"/>
      <c r="I33" s="121" t="s">
        <v>42</v>
      </c>
      <c r="J33" s="121"/>
      <c r="K33" s="121"/>
      <c r="L33" s="121"/>
      <c r="M33" s="121"/>
      <c r="N33" s="121"/>
      <c r="O33" s="121"/>
    </row>
    <row r="34" spans="1:21" x14ac:dyDescent="0.35">
      <c r="L34" s="24"/>
      <c r="Q34" s="8"/>
      <c r="R34" s="8"/>
      <c r="S34" s="8"/>
      <c r="T34" s="9"/>
      <c r="U34" s="8"/>
    </row>
    <row r="35" spans="1:21" x14ac:dyDescent="0.35">
      <c r="B35" s="72"/>
      <c r="C35" s="72"/>
      <c r="D35" s="73" t="s">
        <v>5</v>
      </c>
      <c r="E35" s="92">
        <f>ROUNDUP(F13+F14+F15,2)</f>
        <v>5251000</v>
      </c>
      <c r="F35" s="72"/>
      <c r="G35" s="72"/>
      <c r="H35" s="74"/>
      <c r="I35" s="74"/>
      <c r="J35" s="74"/>
      <c r="K35" s="74"/>
      <c r="L35" s="73" t="s">
        <v>5</v>
      </c>
      <c r="M35" s="92">
        <f>N13</f>
        <v>5051000</v>
      </c>
      <c r="N35" s="74"/>
    </row>
    <row r="36" spans="1:21" x14ac:dyDescent="0.35">
      <c r="B36" s="72"/>
      <c r="C36" s="72"/>
      <c r="D36" s="75" t="s">
        <v>24</v>
      </c>
      <c r="E36" s="91">
        <f>ROUNDUP(IF(E35&gt;2425000,30000,SUM(E41:E48)),2)</f>
        <v>30000</v>
      </c>
      <c r="F36" s="72"/>
      <c r="G36" s="74"/>
      <c r="H36" s="74"/>
      <c r="I36" s="74"/>
      <c r="J36" s="74"/>
      <c r="K36" s="74"/>
      <c r="L36" s="75" t="s">
        <v>21</v>
      </c>
      <c r="M36" s="91">
        <f>ROUNDUP(IF(M35=0,0,SUM(M41:M59)),2)</f>
        <v>151530</v>
      </c>
      <c r="N36" s="74"/>
    </row>
    <row r="37" spans="1:21" x14ac:dyDescent="0.35">
      <c r="B37" s="72"/>
      <c r="C37" s="72"/>
      <c r="D37" s="73" t="s">
        <v>7</v>
      </c>
      <c r="E37" s="91">
        <f>ROUNDUP((E36+E35),2)</f>
        <v>5281000</v>
      </c>
      <c r="F37" s="72"/>
      <c r="G37" s="74"/>
      <c r="H37" s="74"/>
      <c r="I37" s="74"/>
      <c r="J37" s="74"/>
      <c r="K37" s="74"/>
      <c r="L37" s="73" t="s">
        <v>7</v>
      </c>
      <c r="M37" s="91">
        <f>ROUNDUP((M36+M35),2)</f>
        <v>5202530</v>
      </c>
      <c r="N37" s="74"/>
    </row>
    <row r="38" spans="1:21" ht="15" thickBot="1" x14ac:dyDescent="0.4">
      <c r="B38" s="72"/>
      <c r="C38" s="72"/>
      <c r="D38" s="72"/>
      <c r="E38" s="72"/>
      <c r="F38" s="72"/>
      <c r="G38" s="74"/>
      <c r="H38" s="74"/>
      <c r="I38" s="74"/>
      <c r="J38" s="74"/>
      <c r="K38" s="74"/>
      <c r="L38" s="74"/>
      <c r="M38" s="74"/>
      <c r="N38" s="74"/>
    </row>
    <row r="39" spans="1:21" x14ac:dyDescent="0.35">
      <c r="B39" s="76" t="s">
        <v>46</v>
      </c>
      <c r="C39" s="77"/>
      <c r="D39" s="77"/>
      <c r="E39" s="77"/>
      <c r="F39" s="78"/>
      <c r="G39" s="74"/>
      <c r="H39" s="74"/>
      <c r="I39" s="74"/>
      <c r="J39" s="74"/>
      <c r="K39" s="74"/>
      <c r="L39" s="74"/>
      <c r="M39" s="74"/>
      <c r="N39" s="74"/>
    </row>
    <row r="40" spans="1:21" x14ac:dyDescent="0.35">
      <c r="B40" s="79" t="s">
        <v>22</v>
      </c>
      <c r="C40" s="79" t="s">
        <v>12</v>
      </c>
      <c r="D40" s="79" t="s">
        <v>13</v>
      </c>
      <c r="E40" s="79" t="s">
        <v>23</v>
      </c>
      <c r="F40" s="79" t="s">
        <v>14</v>
      </c>
      <c r="G40" s="74"/>
      <c r="H40" s="74"/>
      <c r="I40" s="74"/>
      <c r="J40" s="79" t="s">
        <v>22</v>
      </c>
      <c r="K40" s="79" t="s">
        <v>12</v>
      </c>
      <c r="L40" s="79" t="s">
        <v>13</v>
      </c>
      <c r="M40" s="79" t="s">
        <v>23</v>
      </c>
      <c r="N40" s="79" t="s">
        <v>14</v>
      </c>
    </row>
    <row r="41" spans="1:21" x14ac:dyDescent="0.35">
      <c r="B41" s="79">
        <v>0.1</v>
      </c>
      <c r="C41" s="80">
        <v>0</v>
      </c>
      <c r="D41" s="80">
        <v>2499</v>
      </c>
      <c r="E41" s="81">
        <f>ROUNDUP(IF(E35&gt;D41,250,E35*B41),2)</f>
        <v>250</v>
      </c>
      <c r="F41" s="82">
        <v>250</v>
      </c>
      <c r="G41" s="74"/>
      <c r="H41" s="74"/>
      <c r="I41" s="74"/>
      <c r="J41" s="83" t="s">
        <v>15</v>
      </c>
      <c r="K41" s="84">
        <v>0</v>
      </c>
      <c r="L41" s="85">
        <v>1999</v>
      </c>
      <c r="M41" s="86">
        <f>IF(($M$35&lt;L41),500,0)</f>
        <v>0</v>
      </c>
      <c r="N41" s="87">
        <v>500</v>
      </c>
    </row>
    <row r="42" spans="1:21" x14ac:dyDescent="0.35">
      <c r="B42" s="79">
        <v>0.09</v>
      </c>
      <c r="C42" s="80">
        <v>2500</v>
      </c>
      <c r="D42" s="80">
        <v>9999</v>
      </c>
      <c r="E42" s="81">
        <f>ROUNDUP(IF(E35&gt;D42,F42,IF(AND(E35&gt;D41,E35&lt;=D42),(E35-C42)*B42,0)),2)</f>
        <v>675</v>
      </c>
      <c r="F42" s="82">
        <v>675</v>
      </c>
      <c r="G42" s="74"/>
      <c r="H42" s="74"/>
      <c r="I42" s="74"/>
      <c r="J42" s="83">
        <v>0.25</v>
      </c>
      <c r="K42" s="84">
        <v>2000</v>
      </c>
      <c r="L42" s="85">
        <v>4999</v>
      </c>
      <c r="M42" s="86">
        <f t="shared" ref="M42:M58" si="0">IF((AND($M$35&gt;=K42,$M$35&lt;K43)),$M$35*J42,0)</f>
        <v>0</v>
      </c>
      <c r="N42" s="87">
        <f t="shared" ref="N42:N58" si="1">K43*J42</f>
        <v>1250</v>
      </c>
    </row>
    <row r="43" spans="1:21" x14ac:dyDescent="0.35">
      <c r="B43" s="79">
        <v>0.08</v>
      </c>
      <c r="C43" s="80">
        <v>10000</v>
      </c>
      <c r="D43" s="80">
        <v>24999</v>
      </c>
      <c r="E43" s="81">
        <f>ROUNDUP(IF(E35&gt;D43,F43,IF(AND(E35&gt;D42,E35&lt;=D43),(E35-C43)*B43,0)),2)</f>
        <v>1200</v>
      </c>
      <c r="F43" s="82">
        <v>1200</v>
      </c>
      <c r="G43" s="74"/>
      <c r="H43" s="74"/>
      <c r="I43" s="74"/>
      <c r="J43" s="83">
        <v>0.23</v>
      </c>
      <c r="K43" s="84">
        <v>5000</v>
      </c>
      <c r="L43" s="85">
        <v>9999</v>
      </c>
      <c r="M43" s="86">
        <f t="shared" si="0"/>
        <v>0</v>
      </c>
      <c r="N43" s="87">
        <f t="shared" si="1"/>
        <v>2300</v>
      </c>
    </row>
    <row r="44" spans="1:21" x14ac:dyDescent="0.35">
      <c r="B44" s="79">
        <v>7.0000000000000007E-2</v>
      </c>
      <c r="C44" s="80">
        <v>25000</v>
      </c>
      <c r="D44" s="80">
        <v>49999</v>
      </c>
      <c r="E44" s="81">
        <f>ROUNDUP(IF(E35&gt;D44,F44,IF(AND(E35&gt;D43,E35&lt;=D44),(E35-C44)*B44,0)),2)</f>
        <v>1750</v>
      </c>
      <c r="F44" s="82">
        <v>1750</v>
      </c>
      <c r="G44" s="74"/>
      <c r="H44" s="74"/>
      <c r="I44" s="74"/>
      <c r="J44" s="83">
        <v>0.21</v>
      </c>
      <c r="K44" s="84">
        <v>10000</v>
      </c>
      <c r="L44" s="85">
        <v>14999</v>
      </c>
      <c r="M44" s="86">
        <f t="shared" si="0"/>
        <v>0</v>
      </c>
      <c r="N44" s="87">
        <f t="shared" si="1"/>
        <v>3150</v>
      </c>
    </row>
    <row r="45" spans="1:21" x14ac:dyDescent="0.35">
      <c r="B45" s="79">
        <v>0.05</v>
      </c>
      <c r="C45" s="80">
        <v>50000</v>
      </c>
      <c r="D45" s="80">
        <v>99999</v>
      </c>
      <c r="E45" s="81">
        <f>ROUNDUP(IF(E35&gt;D45,F45,IF(AND(E35&gt;D44,E35&lt;=D45),(E35-C45)*B45,0)),2)</f>
        <v>2500</v>
      </c>
      <c r="F45" s="82">
        <v>2500</v>
      </c>
      <c r="G45" s="74"/>
      <c r="H45" s="74"/>
      <c r="I45" s="74"/>
      <c r="J45" s="83">
        <v>0.19</v>
      </c>
      <c r="K45" s="84">
        <v>15000</v>
      </c>
      <c r="L45" s="85">
        <v>19999</v>
      </c>
      <c r="M45" s="86">
        <f t="shared" si="0"/>
        <v>0</v>
      </c>
      <c r="N45" s="87">
        <f t="shared" si="1"/>
        <v>3800</v>
      </c>
    </row>
    <row r="46" spans="1:21" x14ac:dyDescent="0.35">
      <c r="B46" s="79">
        <v>0.03</v>
      </c>
      <c r="C46" s="80">
        <v>100000</v>
      </c>
      <c r="D46" s="80">
        <v>299999</v>
      </c>
      <c r="E46" s="81">
        <f>ROUNDUP(IF(E35&gt;D46,F46,IF(AND(E35&gt;D45,E35&lt;=D46),(E35-C46)*B46,0)),2)</f>
        <v>6000</v>
      </c>
      <c r="F46" s="82">
        <v>6000</v>
      </c>
      <c r="G46" s="74"/>
      <c r="H46" s="74"/>
      <c r="I46" s="74"/>
      <c r="J46" s="83">
        <v>0.17</v>
      </c>
      <c r="K46" s="84">
        <v>20000</v>
      </c>
      <c r="L46" s="85">
        <v>24999</v>
      </c>
      <c r="M46" s="86">
        <f t="shared" si="0"/>
        <v>0</v>
      </c>
      <c r="N46" s="87">
        <f t="shared" si="1"/>
        <v>4250</v>
      </c>
    </row>
    <row r="47" spans="1:21" x14ac:dyDescent="0.35">
      <c r="B47" s="79">
        <v>1.4999999999999999E-2</v>
      </c>
      <c r="C47" s="80">
        <v>300000</v>
      </c>
      <c r="D47" s="80">
        <v>999999</v>
      </c>
      <c r="E47" s="81">
        <f>ROUNDUP(IF(E35&gt;D47,F47,IF(AND(E35&gt;D46,E35&lt;=D47),(E35-C47)*B47,0)),2)</f>
        <v>10500</v>
      </c>
      <c r="F47" s="82">
        <v>10500</v>
      </c>
      <c r="G47" s="74"/>
      <c r="H47" s="74"/>
      <c r="I47" s="74"/>
      <c r="J47" s="88">
        <v>0.15</v>
      </c>
      <c r="K47" s="84">
        <v>25000</v>
      </c>
      <c r="L47" s="85">
        <v>49999</v>
      </c>
      <c r="M47" s="86">
        <f t="shared" si="0"/>
        <v>0</v>
      </c>
      <c r="N47" s="87">
        <f t="shared" si="1"/>
        <v>7500</v>
      </c>
    </row>
    <row r="48" spans="1:21" x14ac:dyDescent="0.35">
      <c r="B48" s="79">
        <v>5.0000000000000001E-3</v>
      </c>
      <c r="C48" s="80">
        <v>1000000</v>
      </c>
      <c r="D48" s="80">
        <v>2425000</v>
      </c>
      <c r="E48" s="81">
        <f>ROUNDUP(IF(E35&gt;D48,F48,IF(AND(E35&gt;D47,E35&lt;=D48),(E35-C48)*B48,0)),2)</f>
        <v>7125</v>
      </c>
      <c r="F48" s="82">
        <v>7125</v>
      </c>
      <c r="G48" s="74"/>
      <c r="H48" s="74"/>
      <c r="I48" s="74"/>
      <c r="J48" s="88">
        <v>0.14000000000000001</v>
      </c>
      <c r="K48" s="84">
        <v>50000</v>
      </c>
      <c r="L48" s="85">
        <v>99999</v>
      </c>
      <c r="M48" s="86">
        <f t="shared" si="0"/>
        <v>0</v>
      </c>
      <c r="N48" s="87">
        <f t="shared" si="1"/>
        <v>14000.000000000002</v>
      </c>
    </row>
    <row r="49" spans="2:14" x14ac:dyDescent="0.35">
      <c r="B49" s="74"/>
      <c r="C49" s="74"/>
      <c r="D49" s="74"/>
      <c r="E49" s="74"/>
      <c r="F49" s="74"/>
      <c r="G49" s="74"/>
      <c r="H49" s="74"/>
      <c r="I49" s="74"/>
      <c r="J49" s="88">
        <v>0.13</v>
      </c>
      <c r="K49" s="84">
        <v>100000</v>
      </c>
      <c r="L49" s="85">
        <v>149999</v>
      </c>
      <c r="M49" s="86">
        <f t="shared" si="0"/>
        <v>0</v>
      </c>
      <c r="N49" s="87">
        <f t="shared" si="1"/>
        <v>19500</v>
      </c>
    </row>
    <row r="50" spans="2:14" x14ac:dyDescent="0.35">
      <c r="B50" s="74"/>
      <c r="C50" s="74"/>
      <c r="D50" s="74"/>
      <c r="E50" s="74"/>
      <c r="F50" s="74"/>
      <c r="G50" s="74"/>
      <c r="H50" s="74"/>
      <c r="I50" s="74"/>
      <c r="J50" s="88">
        <v>0.12</v>
      </c>
      <c r="K50" s="84">
        <v>150000</v>
      </c>
      <c r="L50" s="85">
        <v>199999</v>
      </c>
      <c r="M50" s="86">
        <f t="shared" si="0"/>
        <v>0</v>
      </c>
      <c r="N50" s="87">
        <f t="shared" si="1"/>
        <v>24000</v>
      </c>
    </row>
    <row r="51" spans="2:14" x14ac:dyDescent="0.35">
      <c r="B51" s="74"/>
      <c r="C51" s="74"/>
      <c r="D51" s="74"/>
      <c r="E51" s="74"/>
      <c r="F51" s="74"/>
      <c r="G51" s="74"/>
      <c r="H51" s="74"/>
      <c r="I51" s="74"/>
      <c r="J51" s="88">
        <v>0.11</v>
      </c>
      <c r="K51" s="84">
        <v>200000</v>
      </c>
      <c r="L51" s="85">
        <v>249999</v>
      </c>
      <c r="M51" s="86">
        <f t="shared" si="0"/>
        <v>0</v>
      </c>
      <c r="N51" s="87">
        <f t="shared" si="1"/>
        <v>27500</v>
      </c>
    </row>
    <row r="52" spans="2:14" x14ac:dyDescent="0.35">
      <c r="B52" s="74"/>
      <c r="C52" s="74"/>
      <c r="D52" s="74"/>
      <c r="E52" s="74"/>
      <c r="F52" s="74"/>
      <c r="G52" s="74"/>
      <c r="H52" s="74"/>
      <c r="I52" s="74"/>
      <c r="J52" s="88">
        <v>0.1</v>
      </c>
      <c r="K52" s="84">
        <v>250000</v>
      </c>
      <c r="L52" s="85">
        <v>349999</v>
      </c>
      <c r="M52" s="86">
        <f t="shared" si="0"/>
        <v>0</v>
      </c>
      <c r="N52" s="87">
        <f t="shared" si="1"/>
        <v>35000</v>
      </c>
    </row>
    <row r="53" spans="2:14" x14ac:dyDescent="0.35">
      <c r="B53" s="74"/>
      <c r="C53" s="74"/>
      <c r="D53" s="74"/>
      <c r="E53" s="74"/>
      <c r="F53" s="74"/>
      <c r="G53" s="74"/>
      <c r="H53" s="74"/>
      <c r="I53" s="74"/>
      <c r="J53" s="88">
        <v>0.09</v>
      </c>
      <c r="K53" s="84">
        <v>350000</v>
      </c>
      <c r="L53" s="85">
        <v>499999</v>
      </c>
      <c r="M53" s="86">
        <f t="shared" si="0"/>
        <v>0</v>
      </c>
      <c r="N53" s="87">
        <f t="shared" si="1"/>
        <v>45000</v>
      </c>
    </row>
    <row r="54" spans="2:14" x14ac:dyDescent="0.35">
      <c r="B54" s="74"/>
      <c r="C54" s="74"/>
      <c r="D54" s="74"/>
      <c r="E54" s="74"/>
      <c r="F54" s="74"/>
      <c r="G54" s="74"/>
      <c r="H54" s="74"/>
      <c r="I54" s="74"/>
      <c r="J54" s="88">
        <v>0.08</v>
      </c>
      <c r="K54" s="84">
        <v>500000</v>
      </c>
      <c r="L54" s="85">
        <v>749999</v>
      </c>
      <c r="M54" s="86">
        <f t="shared" si="0"/>
        <v>0</v>
      </c>
      <c r="N54" s="87">
        <f t="shared" si="1"/>
        <v>60000</v>
      </c>
    </row>
    <row r="55" spans="2:14" x14ac:dyDescent="0.35">
      <c r="B55" s="74"/>
      <c r="C55" s="74"/>
      <c r="D55" s="74"/>
      <c r="E55" s="74"/>
      <c r="F55" s="74"/>
      <c r="G55" s="74"/>
      <c r="H55" s="74"/>
      <c r="I55" s="74"/>
      <c r="J55" s="88">
        <v>7.0000000000000007E-2</v>
      </c>
      <c r="K55" s="84">
        <v>750000</v>
      </c>
      <c r="L55" s="85">
        <v>1249999</v>
      </c>
      <c r="M55" s="86">
        <f t="shared" si="0"/>
        <v>0</v>
      </c>
      <c r="N55" s="87">
        <f t="shared" si="1"/>
        <v>87500.000000000015</v>
      </c>
    </row>
    <row r="56" spans="2:14" x14ac:dyDescent="0.35">
      <c r="B56" s="74"/>
      <c r="C56" s="74"/>
      <c r="D56" s="74"/>
      <c r="E56" s="74"/>
      <c r="F56" s="74"/>
      <c r="G56" s="74"/>
      <c r="H56" s="74"/>
      <c r="I56" s="74"/>
      <c r="J56" s="88">
        <v>0.06</v>
      </c>
      <c r="K56" s="84">
        <v>1250000</v>
      </c>
      <c r="L56" s="85">
        <v>1999999</v>
      </c>
      <c r="M56" s="86">
        <f t="shared" si="0"/>
        <v>0</v>
      </c>
      <c r="N56" s="87">
        <f t="shared" si="1"/>
        <v>120000</v>
      </c>
    </row>
    <row r="57" spans="2:14" x14ac:dyDescent="0.35">
      <c r="B57" s="74"/>
      <c r="C57" s="74"/>
      <c r="D57" s="74"/>
      <c r="E57" s="74"/>
      <c r="F57" s="74"/>
      <c r="G57" s="74"/>
      <c r="H57" s="74"/>
      <c r="I57" s="74"/>
      <c r="J57" s="88">
        <v>0.05</v>
      </c>
      <c r="K57" s="84">
        <v>2000000</v>
      </c>
      <c r="L57" s="85">
        <v>2999999</v>
      </c>
      <c r="M57" s="86">
        <f t="shared" si="0"/>
        <v>0</v>
      </c>
      <c r="N57" s="87">
        <f t="shared" si="1"/>
        <v>150000</v>
      </c>
    </row>
    <row r="58" spans="2:14" x14ac:dyDescent="0.35">
      <c r="B58" s="74"/>
      <c r="C58" s="74"/>
      <c r="D58" s="74"/>
      <c r="E58" s="74"/>
      <c r="F58" s="74"/>
      <c r="G58" s="74"/>
      <c r="H58" s="74"/>
      <c r="I58" s="74"/>
      <c r="J58" s="88">
        <v>0.04</v>
      </c>
      <c r="K58" s="84">
        <v>3000000</v>
      </c>
      <c r="L58" s="85">
        <v>4999999</v>
      </c>
      <c r="M58" s="86">
        <f t="shared" si="0"/>
        <v>0</v>
      </c>
      <c r="N58" s="87">
        <f t="shared" si="1"/>
        <v>200000</v>
      </c>
    </row>
    <row r="59" spans="2:14" x14ac:dyDescent="0.35">
      <c r="B59" s="74"/>
      <c r="C59" s="74"/>
      <c r="D59" s="74"/>
      <c r="E59" s="74"/>
      <c r="F59" s="74"/>
      <c r="G59" s="74"/>
      <c r="H59" s="74"/>
      <c r="I59" s="74"/>
      <c r="J59" s="88">
        <v>0.03</v>
      </c>
      <c r="K59" s="84">
        <v>5000000</v>
      </c>
      <c r="L59" s="89" t="s">
        <v>16</v>
      </c>
      <c r="M59" s="86">
        <f>IF(($M$35&gt;=K59),$M$35*J59,0)</f>
        <v>151530</v>
      </c>
      <c r="N59" s="90" t="s">
        <v>16</v>
      </c>
    </row>
  </sheetData>
  <mergeCells count="19">
    <mergeCell ref="B13:E13"/>
    <mergeCell ref="G13:H13"/>
    <mergeCell ref="J13:M13"/>
    <mergeCell ref="O13:P13"/>
    <mergeCell ref="B10:F10"/>
    <mergeCell ref="J10:N10"/>
    <mergeCell ref="B11:F11"/>
    <mergeCell ref="J11:N11"/>
    <mergeCell ref="B14:E14"/>
    <mergeCell ref="J14:M14"/>
    <mergeCell ref="B15:E15"/>
    <mergeCell ref="G15:H15"/>
    <mergeCell ref="J15:M15"/>
    <mergeCell ref="A33:G33"/>
    <mergeCell ref="I33:O33"/>
    <mergeCell ref="B16:E16"/>
    <mergeCell ref="J17:M17"/>
    <mergeCell ref="B17:E17"/>
    <mergeCell ref="J16:M16"/>
  </mergeCells>
  <printOptions horizontalCentered="1" gridLinesSet="0"/>
  <pageMargins left="0.25" right="0.25" top="1" bottom="1" header="0.5" footer="0.5"/>
  <pageSetup scale="82" orientation="landscape" horizontalDpi="4294967292" r:id="rId1"/>
  <headerFooter alignWithMargins="0">
    <oddHeader>&amp;C&amp;F</oddHeader>
  </headerFooter>
  <colBreaks count="1" manualBreakCount="1">
    <brk id="13" min="9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 Comparison</vt:lpstr>
      <vt:lpstr>Fee Comparison-Detailed</vt:lpstr>
      <vt:lpstr>'Fee Comparison'!Print_Area</vt:lpstr>
      <vt:lpstr>'Fee Comparison-Detailed'!Print_Area</vt:lpstr>
    </vt:vector>
  </TitlesOfParts>
  <Company>General Services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StevenNSacco</dc:creator>
  <cp:lastModifiedBy>Jeffrey Franz</cp:lastModifiedBy>
  <dcterms:created xsi:type="dcterms:W3CDTF">2020-03-18T02:53:09Z</dcterms:created>
  <dcterms:modified xsi:type="dcterms:W3CDTF">2020-06-09T16:39:38Z</dcterms:modified>
</cp:coreProperties>
</file>